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\ежедневное меню 2024-2025\Меню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8" i="1"/>
  <c r="G28" i="1"/>
  <c r="I46" i="1"/>
  <c r="H46" i="1"/>
  <c r="G46" i="1"/>
  <c r="I65" i="1"/>
  <c r="H65" i="1"/>
  <c r="G65" i="1"/>
  <c r="I84" i="1"/>
  <c r="H84" i="1"/>
  <c r="G84" i="1"/>
  <c r="I103" i="1"/>
  <c r="H103" i="1"/>
  <c r="G103" i="1"/>
  <c r="J103" i="1" s="1"/>
  <c r="I122" i="1"/>
  <c r="H122" i="1"/>
  <c r="G122" i="1"/>
  <c r="I140" i="1"/>
  <c r="H140" i="1"/>
  <c r="G140" i="1"/>
  <c r="I159" i="1"/>
  <c r="H159" i="1"/>
  <c r="G159" i="1"/>
  <c r="I178" i="1"/>
  <c r="H178" i="1"/>
  <c r="G178" i="1"/>
  <c r="I188" i="1"/>
  <c r="H188" i="1"/>
  <c r="G188" i="1"/>
  <c r="I169" i="1"/>
  <c r="H169" i="1"/>
  <c r="G169" i="1"/>
  <c r="I150" i="1"/>
  <c r="H150" i="1"/>
  <c r="G150" i="1"/>
  <c r="I131" i="1"/>
  <c r="H131" i="1"/>
  <c r="G131" i="1"/>
  <c r="I113" i="1"/>
  <c r="H113" i="1"/>
  <c r="G113" i="1"/>
  <c r="I94" i="1"/>
  <c r="H94" i="1"/>
  <c r="G94" i="1"/>
  <c r="I75" i="1"/>
  <c r="H75" i="1"/>
  <c r="G75" i="1"/>
  <c r="J75" i="1" s="1"/>
  <c r="I56" i="1"/>
  <c r="H56" i="1"/>
  <c r="G56" i="1"/>
  <c r="I37" i="1"/>
  <c r="H37" i="1"/>
  <c r="G37" i="1"/>
  <c r="J37" i="1" s="1"/>
  <c r="I19" i="1"/>
  <c r="H19" i="1"/>
  <c r="G19" i="1"/>
  <c r="J159" i="1" l="1"/>
  <c r="J19" i="1"/>
  <c r="J65" i="1"/>
  <c r="J150" i="1"/>
  <c r="J84" i="1"/>
  <c r="J56" i="1"/>
  <c r="J94" i="1"/>
  <c r="J113" i="1"/>
  <c r="J28" i="1"/>
  <c r="J188" i="1"/>
  <c r="J169" i="1"/>
  <c r="J122" i="1"/>
  <c r="J131" i="1"/>
  <c r="J140" i="1"/>
  <c r="J178" i="1"/>
  <c r="J46" i="1"/>
  <c r="J187" i="1" l="1"/>
  <c r="J186" i="1"/>
  <c r="I185" i="1"/>
  <c r="H185" i="1"/>
  <c r="G185" i="1"/>
  <c r="I184" i="1"/>
  <c r="H184" i="1"/>
  <c r="G184" i="1"/>
  <c r="J183" i="1"/>
  <c r="J179" i="1"/>
  <c r="J181" i="1"/>
  <c r="I180" i="1"/>
  <c r="H180" i="1"/>
  <c r="G180" i="1"/>
  <c r="J180" i="1" s="1"/>
  <c r="J177" i="1"/>
  <c r="J175" i="1"/>
  <c r="J168" i="1"/>
  <c r="I167" i="1"/>
  <c r="H167" i="1"/>
  <c r="G167" i="1"/>
  <c r="J167" i="1" s="1"/>
  <c r="I166" i="1"/>
  <c r="H166" i="1"/>
  <c r="G166" i="1"/>
  <c r="J165" i="1"/>
  <c r="I164" i="1"/>
  <c r="H164" i="1"/>
  <c r="G164" i="1"/>
  <c r="I158" i="1"/>
  <c r="H158" i="1"/>
  <c r="G158" i="1"/>
  <c r="J158" i="1" s="1"/>
  <c r="J160" i="1"/>
  <c r="I157" i="1"/>
  <c r="J157" i="1" s="1"/>
  <c r="H157" i="1"/>
  <c r="G157" i="1"/>
  <c r="J156" i="1"/>
  <c r="I161" i="1"/>
  <c r="H161" i="1"/>
  <c r="G161" i="1"/>
  <c r="J161" i="1" s="1"/>
  <c r="J149" i="1"/>
  <c r="I147" i="1"/>
  <c r="H147" i="1"/>
  <c r="G147" i="1"/>
  <c r="I146" i="1"/>
  <c r="H146" i="1"/>
  <c r="G146" i="1"/>
  <c r="I145" i="1"/>
  <c r="H145" i="1"/>
  <c r="G145" i="1"/>
  <c r="J142" i="1"/>
  <c r="J139" i="1"/>
  <c r="I141" i="1"/>
  <c r="H141" i="1"/>
  <c r="G141" i="1"/>
  <c r="J141" i="1" s="1"/>
  <c r="I137" i="1"/>
  <c r="H137" i="1"/>
  <c r="G137" i="1"/>
  <c r="J130" i="1"/>
  <c r="I129" i="1"/>
  <c r="H129" i="1"/>
  <c r="G129" i="1"/>
  <c r="I128" i="1"/>
  <c r="H128" i="1"/>
  <c r="G128" i="1"/>
  <c r="I126" i="1"/>
  <c r="H126" i="1"/>
  <c r="G126" i="1"/>
  <c r="I123" i="1"/>
  <c r="G123" i="1"/>
  <c r="J123" i="1" s="1"/>
  <c r="J121" i="1"/>
  <c r="I119" i="1"/>
  <c r="H119" i="1"/>
  <c r="G119" i="1"/>
  <c r="J120" i="1"/>
  <c r="J112" i="1"/>
  <c r="I111" i="1"/>
  <c r="H111" i="1"/>
  <c r="G111" i="1"/>
  <c r="I110" i="1"/>
  <c r="H110" i="1"/>
  <c r="G110" i="1"/>
  <c r="J109" i="1"/>
  <c r="J108" i="1"/>
  <c r="I105" i="1"/>
  <c r="H105" i="1"/>
  <c r="G105" i="1"/>
  <c r="J105" i="1" s="1"/>
  <c r="J104" i="1"/>
  <c r="J102" i="1"/>
  <c r="J100" i="1"/>
  <c r="J93" i="1"/>
  <c r="I92" i="1"/>
  <c r="H92" i="1"/>
  <c r="G92" i="1"/>
  <c r="I91" i="1"/>
  <c r="H91" i="1"/>
  <c r="G91" i="1"/>
  <c r="J90" i="1"/>
  <c r="J89" i="1"/>
  <c r="J85" i="1"/>
  <c r="F88" i="1"/>
  <c r="I87" i="1"/>
  <c r="H87" i="1"/>
  <c r="G87" i="1"/>
  <c r="J86" i="1"/>
  <c r="J83" i="1"/>
  <c r="J74" i="1"/>
  <c r="I73" i="1"/>
  <c r="H73" i="1"/>
  <c r="G73" i="1"/>
  <c r="I72" i="1"/>
  <c r="H72" i="1"/>
  <c r="G72" i="1"/>
  <c r="I71" i="1"/>
  <c r="H71" i="1"/>
  <c r="G71" i="1"/>
  <c r="J70" i="1"/>
  <c r="I66" i="1"/>
  <c r="H66" i="1"/>
  <c r="G66" i="1"/>
  <c r="J64" i="1"/>
  <c r="I63" i="1"/>
  <c r="H63" i="1"/>
  <c r="G63" i="1"/>
  <c r="I62" i="1"/>
  <c r="H62" i="1"/>
  <c r="G62" i="1"/>
  <c r="J184" i="1" l="1"/>
  <c r="J62" i="1"/>
  <c r="J129" i="1"/>
  <c r="J185" i="1"/>
  <c r="J63" i="1"/>
  <c r="J111" i="1"/>
  <c r="J146" i="1"/>
  <c r="J166" i="1"/>
  <c r="J128" i="1"/>
  <c r="J147" i="1"/>
  <c r="J110" i="1"/>
  <c r="J87" i="1"/>
  <c r="J137" i="1"/>
  <c r="J145" i="1"/>
  <c r="J164" i="1"/>
  <c r="J71" i="1"/>
  <c r="J72" i="1"/>
  <c r="J66" i="1"/>
  <c r="J91" i="1"/>
  <c r="J126" i="1"/>
  <c r="J73" i="1"/>
  <c r="J92" i="1"/>
  <c r="J119" i="1"/>
  <c r="J55" i="1"/>
  <c r="I53" i="1"/>
  <c r="H53" i="1"/>
  <c r="G53" i="1"/>
  <c r="J52" i="1"/>
  <c r="J51" i="1"/>
  <c r="I47" i="1"/>
  <c r="H47" i="1"/>
  <c r="G47" i="1"/>
  <c r="J45" i="1"/>
  <c r="I43" i="1"/>
  <c r="H43" i="1"/>
  <c r="G43" i="1"/>
  <c r="J53" i="1" l="1"/>
  <c r="J47" i="1"/>
  <c r="J43" i="1"/>
  <c r="J36" i="1"/>
  <c r="I35" i="1"/>
  <c r="H35" i="1"/>
  <c r="G35" i="1"/>
  <c r="J33" i="1"/>
  <c r="I34" i="1"/>
  <c r="H34" i="1"/>
  <c r="G34" i="1"/>
  <c r="J34" i="1" s="1"/>
  <c r="J32" i="1"/>
  <c r="J27" i="1"/>
  <c r="J26" i="1"/>
  <c r="I11" i="1"/>
  <c r="H11" i="1"/>
  <c r="G11" i="1"/>
  <c r="I25" i="1"/>
  <c r="H25" i="1"/>
  <c r="G25" i="1"/>
  <c r="J15" i="1"/>
  <c r="J18" i="1"/>
  <c r="I17" i="1"/>
  <c r="H17" i="1"/>
  <c r="G17" i="1"/>
  <c r="I16" i="1"/>
  <c r="H16" i="1"/>
  <c r="G16" i="1"/>
  <c r="I14" i="1"/>
  <c r="H14" i="1"/>
  <c r="J10" i="1"/>
  <c r="I9" i="1"/>
  <c r="H9" i="1"/>
  <c r="G9" i="1"/>
  <c r="I8" i="1"/>
  <c r="H8" i="1"/>
  <c r="G8" i="1"/>
  <c r="I6" i="1"/>
  <c r="H6" i="1"/>
  <c r="G6" i="1"/>
  <c r="J6" i="1" s="1"/>
  <c r="J9" i="1" l="1"/>
  <c r="J17" i="1"/>
  <c r="J25" i="1"/>
  <c r="J8" i="1"/>
  <c r="J11" i="1"/>
  <c r="J13" i="1" s="1"/>
  <c r="J16" i="1"/>
  <c r="J35" i="1"/>
  <c r="J41" i="1" s="1"/>
  <c r="L192" i="1"/>
  <c r="L182" i="1"/>
  <c r="L173" i="1"/>
  <c r="L163" i="1"/>
  <c r="L154" i="1"/>
  <c r="L144" i="1"/>
  <c r="L135" i="1"/>
  <c r="L125" i="1"/>
  <c r="L117" i="1"/>
  <c r="L107" i="1"/>
  <c r="L98" i="1"/>
  <c r="L88" i="1"/>
  <c r="L79" i="1"/>
  <c r="L69" i="1"/>
  <c r="L60" i="1"/>
  <c r="L50" i="1"/>
  <c r="L41" i="1"/>
  <c r="L31" i="1"/>
  <c r="L23" i="1"/>
  <c r="L13" i="1"/>
  <c r="A108" i="1"/>
  <c r="B193" i="1"/>
  <c r="A193" i="1"/>
  <c r="J192" i="1"/>
  <c r="I192" i="1"/>
  <c r="H192" i="1"/>
  <c r="G192" i="1"/>
  <c r="F192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4" i="1"/>
  <c r="A164" i="1"/>
  <c r="J163" i="1"/>
  <c r="I163" i="1"/>
  <c r="H163" i="1"/>
  <c r="G163" i="1"/>
  <c r="F163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36" i="1"/>
  <c r="A136" i="1"/>
  <c r="J135" i="1"/>
  <c r="I135" i="1"/>
  <c r="H135" i="1"/>
  <c r="G135" i="1"/>
  <c r="F135" i="1"/>
  <c r="B126" i="1"/>
  <c r="A126" i="1"/>
  <c r="J125" i="1"/>
  <c r="I125" i="1"/>
  <c r="H125" i="1"/>
  <c r="G125" i="1"/>
  <c r="F125" i="1"/>
  <c r="B118" i="1"/>
  <c r="A118" i="1"/>
  <c r="J117" i="1"/>
  <c r="I117" i="1"/>
  <c r="H117" i="1"/>
  <c r="G117" i="1"/>
  <c r="F117" i="1"/>
  <c r="B108" i="1"/>
  <c r="J107" i="1"/>
  <c r="I107" i="1"/>
  <c r="H107" i="1"/>
  <c r="G107" i="1"/>
  <c r="F107" i="1"/>
  <c r="B99" i="1"/>
  <c r="A99" i="1"/>
  <c r="J98" i="1"/>
  <c r="I98" i="1"/>
  <c r="H98" i="1"/>
  <c r="G98" i="1"/>
  <c r="F98" i="1"/>
  <c r="F99" i="1" s="1"/>
  <c r="B89" i="1"/>
  <c r="A89" i="1"/>
  <c r="J88" i="1"/>
  <c r="I88" i="1"/>
  <c r="H88" i="1"/>
  <c r="G88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B42" i="1"/>
  <c r="A42" i="1"/>
  <c r="I41" i="1"/>
  <c r="H41" i="1"/>
  <c r="G41" i="1"/>
  <c r="F41" i="1"/>
  <c r="B32" i="1"/>
  <c r="A32" i="1"/>
  <c r="J31" i="1"/>
  <c r="I31" i="1"/>
  <c r="H31" i="1"/>
  <c r="G31" i="1"/>
  <c r="F31" i="1"/>
  <c r="B24" i="1"/>
  <c r="A24" i="1"/>
  <c r="B14" i="1"/>
  <c r="A14" i="1"/>
  <c r="G23" i="1"/>
  <c r="H23" i="1"/>
  <c r="I23" i="1"/>
  <c r="F23" i="1"/>
  <c r="G13" i="1"/>
  <c r="H13" i="1"/>
  <c r="I13" i="1"/>
  <c r="F13" i="1"/>
  <c r="L174" i="1" l="1"/>
  <c r="L155" i="1"/>
  <c r="L136" i="1"/>
  <c r="L99" i="1"/>
  <c r="L24" i="1"/>
  <c r="L118" i="1"/>
  <c r="J23" i="1"/>
  <c r="J24" i="1" s="1"/>
  <c r="L42" i="1"/>
  <c r="L61" i="1"/>
  <c r="L193" i="1"/>
  <c r="L80" i="1"/>
  <c r="I193" i="1"/>
  <c r="G174" i="1"/>
  <c r="J174" i="1"/>
  <c r="H155" i="1"/>
  <c r="H174" i="1"/>
  <c r="H99" i="1"/>
  <c r="J118" i="1"/>
  <c r="G155" i="1"/>
  <c r="I174" i="1"/>
  <c r="I136" i="1"/>
  <c r="G193" i="1"/>
  <c r="H193" i="1"/>
  <c r="J193" i="1"/>
  <c r="J155" i="1"/>
  <c r="I155" i="1"/>
  <c r="H136" i="1"/>
  <c r="J136" i="1"/>
  <c r="G136" i="1"/>
  <c r="H118" i="1"/>
  <c r="G118" i="1"/>
  <c r="I118" i="1"/>
  <c r="G99" i="1"/>
  <c r="J99" i="1"/>
  <c r="I99" i="1"/>
  <c r="J80" i="1"/>
  <c r="F80" i="1"/>
  <c r="I80" i="1"/>
  <c r="G80" i="1"/>
  <c r="H80" i="1"/>
  <c r="F61" i="1"/>
  <c r="J61" i="1"/>
  <c r="H61" i="1"/>
  <c r="I61" i="1"/>
  <c r="G61" i="1"/>
  <c r="F42" i="1"/>
  <c r="G42" i="1"/>
  <c r="J42" i="1"/>
  <c r="H42" i="1"/>
  <c r="I42" i="1"/>
  <c r="F118" i="1"/>
  <c r="F136" i="1"/>
  <c r="F155" i="1"/>
  <c r="F174" i="1"/>
  <c r="F193" i="1"/>
  <c r="I24" i="1"/>
  <c r="F24" i="1"/>
  <c r="H24" i="1"/>
  <c r="G24" i="1"/>
  <c r="L194" i="1" l="1"/>
  <c r="H194" i="1"/>
  <c r="J194" i="1"/>
  <c r="G194" i="1"/>
  <c r="F194" i="1"/>
  <c r="I194" i="1"/>
</calcChain>
</file>

<file path=xl/sharedStrings.xml><?xml version="1.0" encoding="utf-8"?>
<sst xmlns="http://schemas.openxmlformats.org/spreadsheetml/2006/main" count="339" uniqueCount="104">
  <si>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</si>
  <si>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</si>
  <si>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</si>
  <si>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</si>
  <si>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</si>
  <si>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</si>
  <si>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</si>
  <si>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</si>
  <si>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</si>
  <si>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</si>
  <si>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</si>
  <si>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</si>
  <si>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</si>
  <si>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</si>
  <si>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</si>
  <si>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</si>
  <si>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</si>
  <si>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</si>
  <si>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</si>
  <si>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</si>
  <si>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</si>
  <si>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</si>
  <si>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</si>
  <si>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</si>
  <si>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</si>
  <si>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</si>
  <si>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</si>
  <si>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</si>
  <si>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</si>
  <si>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</si>
  <si>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</si>
  <si>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</si>
  <si>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</si>
  <si>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</si>
  <si>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</si>
  <si>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</si>
  <si>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</si>
  <si>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</si>
  <si>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</si>
  <si>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геркулесовая молочная с маслом сливочным</t>
  </si>
  <si>
    <t>Директор</t>
  </si>
  <si>
    <t>Щепилова Е.Ф.</t>
  </si>
  <si>
    <t xml:space="preserve">Какао с молоком </t>
  </si>
  <si>
    <t>Хлеб пшеничный</t>
  </si>
  <si>
    <t>ПР</t>
  </si>
  <si>
    <t xml:space="preserve">Яблоко </t>
  </si>
  <si>
    <t>Сыр твердо-мягкий порционно с м.д.ж. 45%</t>
  </si>
  <si>
    <t>Салат из белокачанной капусты с морковью</t>
  </si>
  <si>
    <t>Суп картофельный с горохом и фрикаделькой из птицы "Детские" (ГОСТ)</t>
  </si>
  <si>
    <t>Палочки мясные "Детские" запеченые (в соответствии с ГОСТ Р 55366-2012)</t>
  </si>
  <si>
    <t>Макаронные изделия отварные с маслом сливочным</t>
  </si>
  <si>
    <t>Чай с лимоном</t>
  </si>
  <si>
    <t>Хлеб ржано-пшеничный</t>
  </si>
  <si>
    <t>Котлета "Говяжья Школьная" запеченная (в соответствии с ГОСТ Р 55366-2012)</t>
  </si>
  <si>
    <t xml:space="preserve">Рис отварной с маслом сливочным </t>
  </si>
  <si>
    <t>Кофейный напиток на молоке</t>
  </si>
  <si>
    <t>Салат из свеклы с маслом растительным</t>
  </si>
  <si>
    <t>Суп-лапша домашняя с птицей отварной и свежей зеленью</t>
  </si>
  <si>
    <t>Рыба, запеченная с овощами и сыром</t>
  </si>
  <si>
    <t xml:space="preserve">Картофельное пюре с маслом сливочным </t>
  </si>
  <si>
    <t xml:space="preserve">Компот из смеси сухофруктов     С- витаминизированный </t>
  </si>
  <si>
    <t xml:space="preserve">Пудинг творожно-пшенный с сахарной пудрой   </t>
  </si>
  <si>
    <t>Чай  с сахаром</t>
  </si>
  <si>
    <t>Салат из моркови с яблоком</t>
  </si>
  <si>
    <t xml:space="preserve">Салат из  свежих помидоров и огурцов с растительным маслом </t>
  </si>
  <si>
    <t xml:space="preserve">Борщ со свежей капустой и картофелем с фрикаделькой из мяса "Детская" </t>
  </si>
  <si>
    <t>Плов  с  птицей</t>
  </si>
  <si>
    <t xml:space="preserve">Компот из свежих яблок и лимона </t>
  </si>
  <si>
    <t>Крокеты "Детские"  запеченые (в соответствии с ГОСТ Р 55366-2012)</t>
  </si>
  <si>
    <t>Груша</t>
  </si>
  <si>
    <t>Салат из свежей капусты с зеленью  "Молодость"</t>
  </si>
  <si>
    <t>Рассольник "Ленинградский" на бульоне</t>
  </si>
  <si>
    <t>Бифштекс рубленый "Детский" (в соответствии с ГОСТ Р 55366-2012)</t>
  </si>
  <si>
    <t>Сок фруктовый</t>
  </si>
  <si>
    <t xml:space="preserve">Омлет натуральный с маслом сливочным </t>
  </si>
  <si>
    <t>Зеленый горошек</t>
  </si>
  <si>
    <t>Суп картофельный с рыбными фрикадельками</t>
  </si>
  <si>
    <t>Котлета "Куриная"</t>
  </si>
  <si>
    <t>Капуста тушеная</t>
  </si>
  <si>
    <t>Напиток фруктовый</t>
  </si>
  <si>
    <t xml:space="preserve">Каша гречневая молочная с маслом сливочным </t>
  </si>
  <si>
    <t>Апельсин</t>
  </si>
  <si>
    <t>Борщ "Сибирский" с фасолью</t>
  </si>
  <si>
    <t>Печень тушеная в соусе</t>
  </si>
  <si>
    <t>Напиток из  яблок  витаминизированный</t>
  </si>
  <si>
    <t>Фрикадельки "Детские" запеченные под соусом молочным (в соответствии с ГОСТ Р 55366-2012)</t>
  </si>
  <si>
    <t>Каша "Дружба" с маслом сливочным</t>
  </si>
  <si>
    <t>Овощи порционно /  Помидор</t>
  </si>
  <si>
    <t>Винегрет овощной</t>
  </si>
  <si>
    <t xml:space="preserve">Птица, порционная  запеченая </t>
  </si>
  <si>
    <t>Запеканка творожно-рисовая с маслом сливочным</t>
  </si>
  <si>
    <t xml:space="preserve">Молоко сгущенное порционно </t>
  </si>
  <si>
    <t>Суп картофельный с клецками</t>
  </si>
  <si>
    <t xml:space="preserve">Жаркое по- домашнему </t>
  </si>
  <si>
    <t xml:space="preserve">Овощи порционно / Огурец </t>
  </si>
  <si>
    <t>Тефтели "Детские" под овощным соусом (в соответствии с ГОСТ Р 55366-2012)</t>
  </si>
  <si>
    <t>Салат из свеклы с сыром и маслом растительным</t>
  </si>
  <si>
    <t>Щи из свежей капусты с фрикаделькой из птицы "Детская"</t>
  </si>
  <si>
    <t xml:space="preserve">Рыба, запеченная под соусом </t>
  </si>
  <si>
    <t>Компот из быстрозамороженных ягод  (компотная смесь)</t>
  </si>
  <si>
    <t xml:space="preserve">Суп картофельный с вермишелью на курином бульоне  </t>
  </si>
  <si>
    <t>Котлеты "Куриные"</t>
  </si>
  <si>
    <t>Каша гречневая  рассыпчатая с маслом</t>
  </si>
  <si>
    <t>Джем фруктовый с кусочками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</si>
</sst>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11" fillId="2" borderId="2" xfId="0" applyNumberFormat="1" applyFont="1" applyFill="1" applyBorder="1" applyAlignment="1" applyProtection="1">
      <alignment horizontal="center" vertical="top"/>
      <protection locked="0"/>
    </xf>
    <xf numFmtId="2" fontId="11" fillId="2" borderId="2" xfId="0" applyNumberFormat="1" applyFont="1" applyFill="1" applyBorder="1" applyAlignment="1" applyProtection="1">
      <alignment horizontal="center" vertical="top"/>
      <protection locked="0"/>
    </xf>
    <xf numFmtId="1" fontId="11" fillId="2" borderId="2" xfId="0" applyNumberFormat="1" applyFont="1" applyFill="1" applyBorder="1" applyAlignment="1">
      <alignment horizontal="center" vertical="top"/>
    </xf>
    <xf numFmtId="2" fontId="11" fillId="2" borderId="2" xfId="0" applyNumberFormat="1" applyFont="1" applyFill="1" applyBorder="1" applyAlignment="1">
      <alignment horizontal="center" vertical="top"/>
    </xf>
    <xf numFmtId="164" fontId="11" fillId="2" borderId="2" xfId="0" applyNumberFormat="1" applyFont="1" applyFill="1" applyBorder="1" applyAlignment="1">
      <alignment horizontal="center" vertical="top"/>
    </xf>
    <xf numFmtId="165" fontId="11" fillId="2" borderId="2" xfId="0" applyNumberFormat="1" applyFont="1" applyFill="1" applyBorder="1" applyAlignment="1">
      <alignment horizontal="center" vertical="top"/>
    </xf>
    <xf numFmtId="0" fontId="11" fillId="2" borderId="2" xfId="0" applyNumberFormat="1" applyFont="1" applyFill="1" applyBorder="1" applyAlignment="1">
      <alignment horizontal="center" vertical="top" wrapText="1"/>
    </xf>
    <xf numFmtId="2" fontId="11" fillId="2" borderId="2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vertical="center" wrapText="1"/>
      <protection locked="0"/>
    </xf>
    <xf numFmtId="1" fontId="12" fillId="2" borderId="2" xfId="0" applyNumberFormat="1" applyFont="1" applyFill="1" applyBorder="1" applyAlignment="1">
      <alignment horizontal="center" vertical="top"/>
    </xf>
    <xf numFmtId="2" fontId="12" fillId="2" borderId="2" xfId="0" applyNumberFormat="1" applyFont="1" applyFill="1" applyBorder="1" applyAlignment="1">
      <alignment horizontal="center" vertical="top"/>
    </xf>
    <xf numFmtId="0" fontId="12" fillId="2" borderId="2" xfId="0" applyNumberFormat="1" applyFont="1" applyFill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view="pageBreakPreview" zoomScale="85" zoomScaleNormal="100" zoomScaleSheetLayoutView="85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0"/>
      <c r="D1" s="71"/>
      <c r="E1" s="71"/>
      <c r="F1" s="12" t="s">
        <v>16</v>
      </c>
      <c r="G1" s="2" t="s">
        <v>17</v>
      </c>
      <c r="H1" s="72" t="s">
        <v>40</v>
      </c>
      <c r="I1" s="72"/>
      <c r="J1" s="72"/>
      <c r="K1" s="72"/>
    </row>
    <row r="2" spans="1:12" ht="17.399999999999999" x14ac:dyDescent="0.25">
      <c r="A2" s="35" t="s">
        <v>6</v>
      </c>
      <c r="C2" s="2"/>
      <c r="G2" s="2" t="s">
        <v>18</v>
      </c>
      <c r="H2" s="72" t="s">
        <v>41</v>
      </c>
      <c r="I2" s="72"/>
      <c r="J2" s="72"/>
      <c r="K2" s="7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51">
        <v>200</v>
      </c>
      <c r="G6" s="52">
        <f>7.23*F6/200</f>
        <v>7.23</v>
      </c>
      <c r="H6" s="52">
        <f>9.81*F6/200</f>
        <v>9.81</v>
      </c>
      <c r="I6" s="52">
        <f>28.8*F6/200</f>
        <v>28.8</v>
      </c>
      <c r="J6" s="52">
        <f>G6*4+H6*9+I6*4</f>
        <v>232.41000000000003</v>
      </c>
      <c r="K6" s="41">
        <v>173</v>
      </c>
      <c r="L6" s="40">
        <v>9.3249999999999993</v>
      </c>
    </row>
    <row r="7" spans="1:12" ht="14.4" x14ac:dyDescent="0.3">
      <c r="A7" s="23"/>
      <c r="B7" s="15"/>
      <c r="C7" s="11"/>
      <c r="D7" s="6"/>
      <c r="E7" s="42"/>
      <c r="F7" s="53"/>
      <c r="G7" s="54"/>
      <c r="H7" s="54"/>
      <c r="I7" s="54"/>
      <c r="J7" s="54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54">
        <f>3.5*F8/200</f>
        <v>3.5</v>
      </c>
      <c r="H8" s="54">
        <f>3.7*F8/200</f>
        <v>3.7</v>
      </c>
      <c r="I8" s="54">
        <f>25.5*F8/200</f>
        <v>25.5</v>
      </c>
      <c r="J8" s="54">
        <f>G8*4+H8*9+I8*4</f>
        <v>149.30000000000001</v>
      </c>
      <c r="K8" s="44">
        <v>382</v>
      </c>
      <c r="L8" s="43">
        <v>26.225000000000001</v>
      </c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53">
        <v>40</v>
      </c>
      <c r="G9" s="54">
        <f>1.52*F9/30</f>
        <v>2.0266666666666664</v>
      </c>
      <c r="H9" s="55">
        <f>0.16*F9/30</f>
        <v>0.21333333333333335</v>
      </c>
      <c r="I9" s="55">
        <f>9.84*F9/30</f>
        <v>13.120000000000001</v>
      </c>
      <c r="J9" s="55">
        <f>G9*4+H9*9+I9*4</f>
        <v>62.506666666666668</v>
      </c>
      <c r="K9" s="44" t="s">
        <v>44</v>
      </c>
      <c r="L9" s="43">
        <v>2.62</v>
      </c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53">
        <v>100</v>
      </c>
      <c r="G10" s="54">
        <v>0.4</v>
      </c>
      <c r="H10" s="54">
        <v>0.4</v>
      </c>
      <c r="I10" s="54">
        <v>9.8000000000000007</v>
      </c>
      <c r="J10" s="54">
        <f>G10*4+H10*9+I10*4</f>
        <v>44.400000000000006</v>
      </c>
      <c r="K10" s="44">
        <v>338</v>
      </c>
      <c r="L10" s="43">
        <v>13.5</v>
      </c>
    </row>
    <row r="11" spans="1:12" ht="14.4" x14ac:dyDescent="0.3">
      <c r="A11" s="23"/>
      <c r="B11" s="15"/>
      <c r="C11" s="11"/>
      <c r="D11" s="6"/>
      <c r="E11" s="42" t="s">
        <v>46</v>
      </c>
      <c r="F11" s="53">
        <v>20</v>
      </c>
      <c r="G11" s="54">
        <f>2.32*F11/10</f>
        <v>4.6399999999999997</v>
      </c>
      <c r="H11" s="54">
        <f>3.4*F11/10</f>
        <v>6.8</v>
      </c>
      <c r="I11" s="54">
        <f>0.01*F11/10</f>
        <v>0.02</v>
      </c>
      <c r="J11" s="54">
        <f>G11*4+H11*9+I11*4</f>
        <v>79.839999999999989</v>
      </c>
      <c r="K11" s="44">
        <v>15</v>
      </c>
      <c r="L11" s="43">
        <v>14.13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>SUM(G6:G12)</f>
        <v>17.796666666666667</v>
      </c>
      <c r="H13" s="19">
        <f>SUM(H6:H12)</f>
        <v>20.923333333333336</v>
      </c>
      <c r="I13" s="19">
        <f>SUM(I6:I12)</f>
        <v>77.239999999999995</v>
      </c>
      <c r="J13" s="19">
        <f>SUM(J6:J12)</f>
        <v>568.45666666666671</v>
      </c>
      <c r="K13" s="25"/>
      <c r="L13" s="19">
        <f>SUM(L6:L12)</f>
        <v>65.8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53">
        <v>60</v>
      </c>
      <c r="G14" s="54">
        <v>0.94</v>
      </c>
      <c r="H14" s="54">
        <f>1.31*F14/60</f>
        <v>1.31</v>
      </c>
      <c r="I14" s="54">
        <f>5.6*F14/60</f>
        <v>5.6</v>
      </c>
      <c r="J14" s="54">
        <v>37.79</v>
      </c>
      <c r="K14" s="44">
        <v>45</v>
      </c>
      <c r="L14" s="43">
        <v>2.4300000000000002</v>
      </c>
    </row>
    <row r="15" spans="1:12" ht="26.4" x14ac:dyDescent="0.3">
      <c r="A15" s="23"/>
      <c r="B15" s="15"/>
      <c r="C15" s="11"/>
      <c r="D15" s="7" t="s">
        <v>27</v>
      </c>
      <c r="E15" s="42" t="s">
        <v>48</v>
      </c>
      <c r="F15" s="59">
        <v>210</v>
      </c>
      <c r="G15" s="54">
        <v>4.84</v>
      </c>
      <c r="H15" s="54">
        <v>3.1</v>
      </c>
      <c r="I15" s="54">
        <v>16.899999999999999</v>
      </c>
      <c r="J15" s="54">
        <f t="shared" ref="J15:J18" si="0">G15*4+H15*9+I15*4</f>
        <v>114.86</v>
      </c>
      <c r="K15" s="44">
        <v>102</v>
      </c>
      <c r="L15" s="43">
        <v>12.66</v>
      </c>
    </row>
    <row r="16" spans="1:12" ht="33.6" customHeight="1" x14ac:dyDescent="0.3">
      <c r="A16" s="23"/>
      <c r="B16" s="15"/>
      <c r="C16" s="11"/>
      <c r="D16" s="7" t="s">
        <v>28</v>
      </c>
      <c r="E16" s="60" t="s">
        <v>49</v>
      </c>
      <c r="F16" s="53">
        <v>90</v>
      </c>
      <c r="G16" s="54">
        <f>13.46*F16/80</f>
        <v>15.142500000000002</v>
      </c>
      <c r="H16" s="56">
        <f>10.86*F16/80</f>
        <v>12.217499999999999</v>
      </c>
      <c r="I16" s="56">
        <f>5.34*F16/80</f>
        <v>6.0074999999999994</v>
      </c>
      <c r="J16" s="54">
        <f t="shared" si="0"/>
        <v>194.5575</v>
      </c>
      <c r="K16" s="44">
        <v>268</v>
      </c>
      <c r="L16" s="43">
        <v>38.549999999999997</v>
      </c>
    </row>
    <row r="17" spans="1:12" ht="14.4" x14ac:dyDescent="0.3">
      <c r="A17" s="23"/>
      <c r="B17" s="15"/>
      <c r="C17" s="11"/>
      <c r="D17" s="7" t="s">
        <v>29</v>
      </c>
      <c r="E17" s="42" t="s">
        <v>50</v>
      </c>
      <c r="F17" s="53">
        <v>150</v>
      </c>
      <c r="G17" s="54">
        <f>5.7*F17/150</f>
        <v>5.7</v>
      </c>
      <c r="H17" s="54">
        <f>3.43*F17/150</f>
        <v>3.43</v>
      </c>
      <c r="I17" s="54">
        <f>36.45*F17/150</f>
        <v>36.450000000000003</v>
      </c>
      <c r="J17" s="54">
        <f t="shared" si="0"/>
        <v>199.47000000000003</v>
      </c>
      <c r="K17" s="44">
        <v>203</v>
      </c>
      <c r="L17" s="43">
        <v>7.44</v>
      </c>
    </row>
    <row r="18" spans="1:12" ht="14.4" x14ac:dyDescent="0.3">
      <c r="A18" s="23"/>
      <c r="B18" s="15"/>
      <c r="C18" s="11"/>
      <c r="D18" s="7" t="s">
        <v>30</v>
      </c>
      <c r="E18" s="42" t="s">
        <v>51</v>
      </c>
      <c r="F18" s="53">
        <v>200</v>
      </c>
      <c r="G18" s="54">
        <v>0.26</v>
      </c>
      <c r="H18" s="54">
        <v>0.06</v>
      </c>
      <c r="I18" s="54">
        <v>15.22</v>
      </c>
      <c r="J18" s="54">
        <f t="shared" si="0"/>
        <v>62.46</v>
      </c>
      <c r="K18" s="44">
        <v>377</v>
      </c>
      <c r="L18" s="43">
        <v>8.8699999999999992</v>
      </c>
    </row>
    <row r="19" spans="1:12" ht="14.4" x14ac:dyDescent="0.3">
      <c r="A19" s="23"/>
      <c r="B19" s="15"/>
      <c r="C19" s="11"/>
      <c r="D19" s="7" t="s">
        <v>31</v>
      </c>
      <c r="E19" s="42" t="s">
        <v>43</v>
      </c>
      <c r="F19" s="53">
        <v>40</v>
      </c>
      <c r="G19" s="54">
        <f>1.52*F19/30</f>
        <v>2.0266666666666664</v>
      </c>
      <c r="H19" s="55">
        <f>0.16*F19/30</f>
        <v>0.21333333333333335</v>
      </c>
      <c r="I19" s="55">
        <f>9.84*F19/30</f>
        <v>13.120000000000001</v>
      </c>
      <c r="J19" s="55">
        <f>G19*4+H19*9+I19*4</f>
        <v>62.506666666666668</v>
      </c>
      <c r="K19" s="44" t="s">
        <v>44</v>
      </c>
      <c r="L19" s="43">
        <v>2.62</v>
      </c>
    </row>
    <row r="20" spans="1:12" ht="14.4" x14ac:dyDescent="0.3">
      <c r="A20" s="23"/>
      <c r="B20" s="15"/>
      <c r="C20" s="11"/>
      <c r="D20" s="7" t="s">
        <v>32</v>
      </c>
      <c r="E20" s="42" t="s">
        <v>52</v>
      </c>
      <c r="F20" s="53">
        <v>40</v>
      </c>
      <c r="G20" s="54">
        <v>2.64</v>
      </c>
      <c r="H20" s="55">
        <v>0.48</v>
      </c>
      <c r="I20" s="55">
        <v>13.68</v>
      </c>
      <c r="J20" s="55">
        <v>69.599999999999994</v>
      </c>
      <c r="K20" s="44" t="s">
        <v>44</v>
      </c>
      <c r="L20" s="43">
        <v>1.43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>SUM(G14:G22)</f>
        <v>31.549166666666668</v>
      </c>
      <c r="H23" s="19">
        <f>SUM(H14:H22)</f>
        <v>20.810833333333331</v>
      </c>
      <c r="I23" s="19">
        <f>SUM(I14:I22)</f>
        <v>106.97750000000002</v>
      </c>
      <c r="J23" s="19">
        <f>SUM(J14:J22)</f>
        <v>741.24416666666673</v>
      </c>
      <c r="K23" s="25"/>
      <c r="L23" s="19">
        <f>SUM(L14:L22)</f>
        <v>74.000000000000014</v>
      </c>
    </row>
    <row r="24" spans="1:12" ht="15" thickBot="1" x14ac:dyDescent="0.3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1350</v>
      </c>
      <c r="G24" s="32">
        <f>G13+G23</f>
        <v>49.345833333333331</v>
      </c>
      <c r="H24" s="32">
        <f>H13+H23</f>
        <v>41.734166666666667</v>
      </c>
      <c r="I24" s="32">
        <f>I13+I23</f>
        <v>184.21750000000003</v>
      </c>
      <c r="J24" s="32">
        <f>J13+J23</f>
        <v>1309.7008333333333</v>
      </c>
      <c r="K24" s="32"/>
      <c r="L24" s="32">
        <f>L13+L23</f>
        <v>139.80000000000001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57">
        <v>90</v>
      </c>
      <c r="G25" s="58">
        <f>14.8*F25/80</f>
        <v>16.649999999999999</v>
      </c>
      <c r="H25" s="58">
        <f>20.69*F25/80</f>
        <v>23.276250000000001</v>
      </c>
      <c r="I25" s="58">
        <f>3.81*F25/80</f>
        <v>4.2862499999999999</v>
      </c>
      <c r="J25" s="58">
        <f>G25*4+H25*9+I25*4</f>
        <v>293.23124999999999</v>
      </c>
      <c r="K25" s="41">
        <v>268</v>
      </c>
      <c r="L25" s="40">
        <v>36.880000000000003</v>
      </c>
    </row>
    <row r="26" spans="1:12" ht="14.4" x14ac:dyDescent="0.3">
      <c r="A26" s="14"/>
      <c r="B26" s="15"/>
      <c r="C26" s="11"/>
      <c r="D26" s="6" t="s">
        <v>21</v>
      </c>
      <c r="E26" s="42" t="s">
        <v>54</v>
      </c>
      <c r="F26" s="53">
        <v>150</v>
      </c>
      <c r="G26" s="54">
        <v>3.7</v>
      </c>
      <c r="H26" s="54">
        <v>5.37</v>
      </c>
      <c r="I26" s="54">
        <v>36.68</v>
      </c>
      <c r="J26" s="54">
        <f>G26*4+H26*9+I26*4</f>
        <v>209.85</v>
      </c>
      <c r="K26" s="44">
        <v>304</v>
      </c>
      <c r="L26" s="43">
        <v>13</v>
      </c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53">
        <v>200</v>
      </c>
      <c r="G27" s="54">
        <v>3.17</v>
      </c>
      <c r="H27" s="54">
        <v>2.68</v>
      </c>
      <c r="I27" s="54">
        <v>15.95</v>
      </c>
      <c r="J27" s="54">
        <f>G27*4+H27*9+I27*4</f>
        <v>100.6</v>
      </c>
      <c r="K27" s="44">
        <v>379</v>
      </c>
      <c r="L27" s="43">
        <v>8.5</v>
      </c>
    </row>
    <row r="28" spans="1:12" ht="14.4" x14ac:dyDescent="0.3">
      <c r="A28" s="14"/>
      <c r="B28" s="15"/>
      <c r="C28" s="11"/>
      <c r="D28" s="7" t="s">
        <v>23</v>
      </c>
      <c r="E28" s="42" t="s">
        <v>43</v>
      </c>
      <c r="F28" s="53">
        <v>40</v>
      </c>
      <c r="G28" s="54">
        <f>1.52*F28/30</f>
        <v>2.0266666666666664</v>
      </c>
      <c r="H28" s="55">
        <f>0.16*F28/30</f>
        <v>0.21333333333333335</v>
      </c>
      <c r="I28" s="55">
        <f>9.84*F28/30</f>
        <v>13.120000000000001</v>
      </c>
      <c r="J28" s="55">
        <f>G28*4+H28*9+I28*4</f>
        <v>62.506666666666668</v>
      </c>
      <c r="K28" s="44" t="s">
        <v>44</v>
      </c>
      <c r="L28" s="43">
        <v>2.62</v>
      </c>
    </row>
    <row r="29" spans="1:12" ht="14.4" x14ac:dyDescent="0.3">
      <c r="A29" s="14"/>
      <c r="B29" s="15"/>
      <c r="C29" s="11"/>
      <c r="D29" s="6"/>
      <c r="E29" s="42" t="s">
        <v>94</v>
      </c>
      <c r="F29" s="43">
        <v>40</v>
      </c>
      <c r="G29" s="43">
        <v>0.33</v>
      </c>
      <c r="H29" s="43">
        <v>0.04</v>
      </c>
      <c r="I29" s="43">
        <v>1.1299999999999999</v>
      </c>
      <c r="J29" s="43">
        <v>6.23</v>
      </c>
      <c r="K29" s="44">
        <v>71</v>
      </c>
      <c r="L29" s="43">
        <v>4.8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SUM(F25:F30)</f>
        <v>520</v>
      </c>
      <c r="G31" s="19">
        <f>SUM(G25:G30)</f>
        <v>25.876666666666662</v>
      </c>
      <c r="H31" s="19">
        <f>SUM(H25:H30)</f>
        <v>31.579583333333336</v>
      </c>
      <c r="I31" s="19">
        <f>SUM(I25:I30)</f>
        <v>71.166250000000005</v>
      </c>
      <c r="J31" s="19">
        <f>SUM(J25:J30)</f>
        <v>672.41791666666666</v>
      </c>
      <c r="K31" s="25"/>
      <c r="L31" s="19">
        <f>SUM(L25:L30)</f>
        <v>65.8</v>
      </c>
    </row>
    <row r="32" spans="1:12" ht="14.4" x14ac:dyDescent="0.3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42" t="s">
        <v>56</v>
      </c>
      <c r="F32" s="53">
        <v>60</v>
      </c>
      <c r="G32" s="54">
        <v>0.86</v>
      </c>
      <c r="H32" s="54">
        <v>3.05</v>
      </c>
      <c r="I32" s="54">
        <v>5.13</v>
      </c>
      <c r="J32" s="54">
        <f t="shared" ref="J32:J36" si="1">G32*4+H32*9+I32*4</f>
        <v>51.41</v>
      </c>
      <c r="K32" s="44">
        <v>52</v>
      </c>
      <c r="L32" s="43">
        <v>2.36</v>
      </c>
    </row>
    <row r="33" spans="1:12" ht="26.4" x14ac:dyDescent="0.3">
      <c r="A33" s="14"/>
      <c r="B33" s="15"/>
      <c r="C33" s="11"/>
      <c r="D33" s="7" t="s">
        <v>27</v>
      </c>
      <c r="E33" s="42" t="s">
        <v>57</v>
      </c>
      <c r="F33" s="59">
        <v>210</v>
      </c>
      <c r="G33" s="54">
        <v>6.9</v>
      </c>
      <c r="H33" s="55">
        <v>6.95</v>
      </c>
      <c r="I33" s="55">
        <v>18.760000000000002</v>
      </c>
      <c r="J33" s="55">
        <f t="shared" si="1"/>
        <v>165.19</v>
      </c>
      <c r="K33" s="44">
        <v>113</v>
      </c>
      <c r="L33" s="43">
        <v>25</v>
      </c>
    </row>
    <row r="34" spans="1:12" ht="14.4" x14ac:dyDescent="0.3">
      <c r="A34" s="14"/>
      <c r="B34" s="15"/>
      <c r="C34" s="11"/>
      <c r="D34" s="7" t="s">
        <v>28</v>
      </c>
      <c r="E34" s="42" t="s">
        <v>58</v>
      </c>
      <c r="F34" s="53">
        <v>90</v>
      </c>
      <c r="G34" s="54">
        <f>20.2*F34/100</f>
        <v>18.18</v>
      </c>
      <c r="H34" s="54">
        <f>12.07*F34/100</f>
        <v>10.863</v>
      </c>
      <c r="I34" s="54">
        <f>2.08*F34/100</f>
        <v>1.8720000000000001</v>
      </c>
      <c r="J34" s="54">
        <f t="shared" si="1"/>
        <v>177.97499999999999</v>
      </c>
      <c r="K34" s="44">
        <v>232</v>
      </c>
      <c r="L34" s="43">
        <v>30</v>
      </c>
    </row>
    <row r="35" spans="1:12" ht="14.4" x14ac:dyDescent="0.3">
      <c r="A35" s="14"/>
      <c r="B35" s="15"/>
      <c r="C35" s="11"/>
      <c r="D35" s="7" t="s">
        <v>29</v>
      </c>
      <c r="E35" s="42" t="s">
        <v>59</v>
      </c>
      <c r="F35" s="53">
        <v>150</v>
      </c>
      <c r="G35" s="54">
        <f>F35*3.29/150</f>
        <v>3.29</v>
      </c>
      <c r="H35" s="54">
        <f>F35*7.06/150</f>
        <v>7.06</v>
      </c>
      <c r="I35" s="54">
        <f>F35*22.21/150</f>
        <v>22.21</v>
      </c>
      <c r="J35" s="54">
        <f t="shared" si="1"/>
        <v>165.54000000000002</v>
      </c>
      <c r="K35" s="44">
        <v>312</v>
      </c>
      <c r="L35" s="43">
        <v>10</v>
      </c>
    </row>
    <row r="36" spans="1:12" ht="14.4" x14ac:dyDescent="0.3">
      <c r="A36" s="14"/>
      <c r="B36" s="15"/>
      <c r="C36" s="11"/>
      <c r="D36" s="7" t="s">
        <v>30</v>
      </c>
      <c r="E36" s="42" t="s">
        <v>60</v>
      </c>
      <c r="F36" s="53">
        <v>200</v>
      </c>
      <c r="G36" s="54">
        <v>0.22</v>
      </c>
      <c r="H36" s="59"/>
      <c r="I36" s="54">
        <v>24.42</v>
      </c>
      <c r="J36" s="54">
        <f t="shared" si="1"/>
        <v>98.56</v>
      </c>
      <c r="K36" s="44">
        <v>349</v>
      </c>
      <c r="L36" s="43">
        <v>2.59</v>
      </c>
    </row>
    <row r="37" spans="1:12" ht="14.4" x14ac:dyDescent="0.3">
      <c r="A37" s="14"/>
      <c r="B37" s="15"/>
      <c r="C37" s="11"/>
      <c r="D37" s="7" t="s">
        <v>31</v>
      </c>
      <c r="E37" s="42" t="s">
        <v>43</v>
      </c>
      <c r="F37" s="53">
        <v>40</v>
      </c>
      <c r="G37" s="54">
        <f>1.52*F37/30</f>
        <v>2.0266666666666664</v>
      </c>
      <c r="H37" s="55">
        <f>0.16*F37/30</f>
        <v>0.21333333333333335</v>
      </c>
      <c r="I37" s="55">
        <f>9.84*F37/30</f>
        <v>13.120000000000001</v>
      </c>
      <c r="J37" s="55">
        <f>G37*4+H37*9+I37*4</f>
        <v>62.506666666666668</v>
      </c>
      <c r="K37" s="44" t="s">
        <v>44</v>
      </c>
      <c r="L37" s="43">
        <v>2.62</v>
      </c>
    </row>
    <row r="38" spans="1:12" ht="14.4" x14ac:dyDescent="0.3">
      <c r="A38" s="14"/>
      <c r="B38" s="15"/>
      <c r="C38" s="11"/>
      <c r="D38" s="7" t="s">
        <v>32</v>
      </c>
      <c r="E38" s="42" t="s">
        <v>52</v>
      </c>
      <c r="F38" s="53">
        <v>40</v>
      </c>
      <c r="G38" s="54">
        <v>2.64</v>
      </c>
      <c r="H38" s="55">
        <v>0.48</v>
      </c>
      <c r="I38" s="55">
        <v>13.68</v>
      </c>
      <c r="J38" s="55">
        <v>69.599999999999994</v>
      </c>
      <c r="K38" s="44" t="s">
        <v>44</v>
      </c>
      <c r="L38" s="43">
        <v>1.43</v>
      </c>
    </row>
    <row r="39" spans="1:12" ht="14.4" x14ac:dyDescent="0.3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6"/>
      <c r="B41" s="17"/>
      <c r="C41" s="8"/>
      <c r="D41" s="18" t="s">
        <v>33</v>
      </c>
      <c r="E41" s="9"/>
      <c r="F41" s="19">
        <f>SUM(F32:F40)</f>
        <v>790</v>
      </c>
      <c r="G41" s="19">
        <f>SUM(G32:G40)</f>
        <v>34.116666666666667</v>
      </c>
      <c r="H41" s="19">
        <f>SUM(H32:H40)</f>
        <v>28.616333333333333</v>
      </c>
      <c r="I41" s="19">
        <f>SUM(I32:I40)</f>
        <v>99.192000000000007</v>
      </c>
      <c r="J41" s="19">
        <f>SUM(J32:J40)</f>
        <v>790.78166666666664</v>
      </c>
      <c r="K41" s="25"/>
      <c r="L41" s="19">
        <f>SUM(L32:L40)</f>
        <v>74.000000000000014</v>
      </c>
    </row>
    <row r="42" spans="1:12" ht="15.75" customHeight="1" thickBot="1" x14ac:dyDescent="0.3">
      <c r="A42" s="33">
        <f>A25</f>
        <v>1</v>
      </c>
      <c r="B42" s="33">
        <f>B25</f>
        <v>2</v>
      </c>
      <c r="C42" s="73" t="s">
        <v>4</v>
      </c>
      <c r="D42" s="74"/>
      <c r="E42" s="31"/>
      <c r="F42" s="32">
        <f>F31+F41</f>
        <v>1310</v>
      </c>
      <c r="G42" s="32">
        <f>G31+G41</f>
        <v>59.993333333333325</v>
      </c>
      <c r="H42" s="32">
        <f>H31+H41</f>
        <v>60.195916666666669</v>
      </c>
      <c r="I42" s="32">
        <f>I31+I41</f>
        <v>170.35825</v>
      </c>
      <c r="J42" s="32">
        <f>J31+J41</f>
        <v>1463.1995833333333</v>
      </c>
      <c r="K42" s="32"/>
      <c r="L42" s="32">
        <f>L31+L41</f>
        <v>139.80000000000001</v>
      </c>
    </row>
    <row r="43" spans="1:12" ht="14.4" x14ac:dyDescent="0.3">
      <c r="A43" s="20">
        <v>1</v>
      </c>
      <c r="B43" s="21">
        <v>3</v>
      </c>
      <c r="C43" s="22" t="s">
        <v>20</v>
      </c>
      <c r="D43" s="5" t="s">
        <v>21</v>
      </c>
      <c r="E43" s="39" t="s">
        <v>61</v>
      </c>
      <c r="F43" s="53">
        <v>170</v>
      </c>
      <c r="G43" s="54">
        <f>14.92*F43/170</f>
        <v>14.92</v>
      </c>
      <c r="H43" s="54">
        <f>14.38*F43/170</f>
        <v>14.379999999999999</v>
      </c>
      <c r="I43" s="54">
        <f>31.51*F43/170</f>
        <v>31.509999999999998</v>
      </c>
      <c r="J43" s="54">
        <f>G43*4+H43*9+I43*4</f>
        <v>315.14</v>
      </c>
      <c r="K43" s="41">
        <v>222</v>
      </c>
      <c r="L43" s="40">
        <v>47.15</v>
      </c>
    </row>
    <row r="44" spans="1:12" ht="14.4" x14ac:dyDescent="0.3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4.4" x14ac:dyDescent="0.3">
      <c r="A45" s="23"/>
      <c r="B45" s="15"/>
      <c r="C45" s="11"/>
      <c r="D45" s="7" t="s">
        <v>22</v>
      </c>
      <c r="E45" s="42" t="s">
        <v>62</v>
      </c>
      <c r="F45" s="53">
        <v>200</v>
      </c>
      <c r="G45" s="54">
        <v>0.2</v>
      </c>
      <c r="H45" s="54">
        <v>0.05</v>
      </c>
      <c r="I45" s="54">
        <v>15.01</v>
      </c>
      <c r="J45" s="54">
        <f>G45*4+H45*9+I45*4</f>
        <v>61.29</v>
      </c>
      <c r="K45" s="44">
        <v>376</v>
      </c>
      <c r="L45" s="43">
        <v>2.0299999999999998</v>
      </c>
    </row>
    <row r="46" spans="1:12" ht="14.4" x14ac:dyDescent="0.3">
      <c r="A46" s="23"/>
      <c r="B46" s="15"/>
      <c r="C46" s="11"/>
      <c r="D46" s="7" t="s">
        <v>23</v>
      </c>
      <c r="E46" s="42" t="s">
        <v>43</v>
      </c>
      <c r="F46" s="53">
        <v>40</v>
      </c>
      <c r="G46" s="54">
        <f>1.52*F46/30</f>
        <v>2.0266666666666664</v>
      </c>
      <c r="H46" s="55">
        <f>0.16*F46/30</f>
        <v>0.21333333333333335</v>
      </c>
      <c r="I46" s="55">
        <f>9.84*F46/30</f>
        <v>13.120000000000001</v>
      </c>
      <c r="J46" s="55">
        <f>G46*4+H46*9+I46*4</f>
        <v>62.506666666666668</v>
      </c>
      <c r="K46" s="44" t="s">
        <v>44</v>
      </c>
      <c r="L46" s="43">
        <v>2.62</v>
      </c>
    </row>
    <row r="47" spans="1:12" ht="14.4" x14ac:dyDescent="0.3">
      <c r="A47" s="23"/>
      <c r="B47" s="15"/>
      <c r="C47" s="11"/>
      <c r="D47" s="7" t="s">
        <v>24</v>
      </c>
      <c r="E47" s="42" t="s">
        <v>63</v>
      </c>
      <c r="F47" s="53">
        <v>100</v>
      </c>
      <c r="G47" s="54">
        <f>1.06*F47/100</f>
        <v>1.06</v>
      </c>
      <c r="H47" s="54">
        <f>0.17*F47/100</f>
        <v>0.17</v>
      </c>
      <c r="I47" s="54">
        <f>8.52*F47/100</f>
        <v>8.52</v>
      </c>
      <c r="J47" s="56">
        <f>G47*4+H47*9+I47*4</f>
        <v>39.85</v>
      </c>
      <c r="K47" s="44">
        <v>59</v>
      </c>
      <c r="L47" s="43">
        <v>4.7</v>
      </c>
    </row>
    <row r="48" spans="1:12" ht="14.4" x14ac:dyDescent="0.3">
      <c r="A48" s="23"/>
      <c r="B48" s="15"/>
      <c r="C48" s="11"/>
      <c r="D48" s="6"/>
      <c r="E48" s="42" t="s">
        <v>103</v>
      </c>
      <c r="F48" s="43">
        <v>20</v>
      </c>
      <c r="G48" s="43">
        <v>0.1</v>
      </c>
      <c r="H48" s="43">
        <v>0</v>
      </c>
      <c r="I48" s="43">
        <v>14.3</v>
      </c>
      <c r="J48" s="43">
        <v>57.6</v>
      </c>
      <c r="K48" s="44"/>
      <c r="L48" s="43">
        <v>9.3000000000000007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4"/>
      <c r="B50" s="17"/>
      <c r="C50" s="8"/>
      <c r="D50" s="18" t="s">
        <v>33</v>
      </c>
      <c r="E50" s="9"/>
      <c r="F50" s="19">
        <f>SUM(F43:F49)</f>
        <v>530</v>
      </c>
      <c r="G50" s="19">
        <f>SUM(G43:G49)</f>
        <v>18.306666666666665</v>
      </c>
      <c r="H50" s="19">
        <f>SUM(H43:H49)</f>
        <v>14.813333333333333</v>
      </c>
      <c r="I50" s="19">
        <f>SUM(I43:I49)</f>
        <v>82.46</v>
      </c>
      <c r="J50" s="19">
        <f>SUM(J43:J49)</f>
        <v>536.38666666666666</v>
      </c>
      <c r="K50" s="25"/>
      <c r="L50" s="19">
        <f>SUM(L43:L49)</f>
        <v>65.8</v>
      </c>
    </row>
    <row r="51" spans="1:12" ht="26.4" x14ac:dyDescent="0.3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 t="s">
        <v>64</v>
      </c>
      <c r="F51" s="53">
        <v>60</v>
      </c>
      <c r="G51" s="54">
        <v>0.3</v>
      </c>
      <c r="H51" s="54">
        <v>2</v>
      </c>
      <c r="I51" s="54">
        <v>1.6</v>
      </c>
      <c r="J51" s="54">
        <f>G51*4+H51*9+I51*4</f>
        <v>25.6</v>
      </c>
      <c r="K51" s="44">
        <v>24</v>
      </c>
      <c r="L51" s="43">
        <v>10</v>
      </c>
    </row>
    <row r="52" spans="1:12" ht="26.4" x14ac:dyDescent="0.3">
      <c r="A52" s="23"/>
      <c r="B52" s="15"/>
      <c r="C52" s="11"/>
      <c r="D52" s="7" t="s">
        <v>27</v>
      </c>
      <c r="E52" s="42" t="s">
        <v>65</v>
      </c>
      <c r="F52" s="59">
        <v>210</v>
      </c>
      <c r="G52" s="54">
        <v>1.89</v>
      </c>
      <c r="H52" s="54">
        <v>2.4300000000000002</v>
      </c>
      <c r="I52" s="54">
        <v>9.34</v>
      </c>
      <c r="J52" s="54">
        <f>G52*4+H52*9+I52*4</f>
        <v>66.789999999999992</v>
      </c>
      <c r="K52" s="44">
        <v>82</v>
      </c>
      <c r="L52" s="43">
        <v>13</v>
      </c>
    </row>
    <row r="53" spans="1:12" ht="14.4" x14ac:dyDescent="0.3">
      <c r="A53" s="23"/>
      <c r="B53" s="15"/>
      <c r="C53" s="11"/>
      <c r="D53" s="7" t="s">
        <v>28</v>
      </c>
      <c r="E53" s="42" t="s">
        <v>66</v>
      </c>
      <c r="F53" s="53">
        <v>240</v>
      </c>
      <c r="G53" s="54">
        <f>F53*18.63/200</f>
        <v>22.355999999999998</v>
      </c>
      <c r="H53" s="54">
        <f>F53*21.78/200</f>
        <v>26.136000000000003</v>
      </c>
      <c r="I53" s="54">
        <f>F53*39.36/200</f>
        <v>47.231999999999999</v>
      </c>
      <c r="J53" s="54">
        <f>G53*4+H53*9+I53*4</f>
        <v>513.57600000000002</v>
      </c>
      <c r="K53" s="44">
        <v>291</v>
      </c>
      <c r="L53" s="43">
        <v>37.950000000000003</v>
      </c>
    </row>
    <row r="54" spans="1:12" ht="14.4" x14ac:dyDescent="0.3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30</v>
      </c>
      <c r="E55" s="42" t="s">
        <v>67</v>
      </c>
      <c r="F55" s="53">
        <v>200</v>
      </c>
      <c r="G55" s="54">
        <v>0.16</v>
      </c>
      <c r="H55" s="59">
        <v>0.16</v>
      </c>
      <c r="I55" s="56">
        <v>27.87</v>
      </c>
      <c r="J55" s="54">
        <f>G55*4+H55*9+I55*4</f>
        <v>113.56</v>
      </c>
      <c r="K55" s="44">
        <v>342</v>
      </c>
      <c r="L55" s="43">
        <v>9</v>
      </c>
    </row>
    <row r="56" spans="1:12" ht="14.4" x14ac:dyDescent="0.3">
      <c r="A56" s="23"/>
      <c r="B56" s="15"/>
      <c r="C56" s="11"/>
      <c r="D56" s="7" t="s">
        <v>31</v>
      </c>
      <c r="E56" s="42" t="s">
        <v>43</v>
      </c>
      <c r="F56" s="53">
        <v>40</v>
      </c>
      <c r="G56" s="54">
        <f>1.52*F56/30</f>
        <v>2.0266666666666664</v>
      </c>
      <c r="H56" s="55">
        <f>0.16*F56/30</f>
        <v>0.21333333333333335</v>
      </c>
      <c r="I56" s="55">
        <f>9.84*F56/30</f>
        <v>13.120000000000001</v>
      </c>
      <c r="J56" s="55">
        <f>G56*4+H56*9+I56*4</f>
        <v>62.506666666666668</v>
      </c>
      <c r="K56" s="44" t="s">
        <v>44</v>
      </c>
      <c r="L56" s="43">
        <v>2.62</v>
      </c>
    </row>
    <row r="57" spans="1:12" ht="14.4" x14ac:dyDescent="0.3">
      <c r="A57" s="23"/>
      <c r="B57" s="15"/>
      <c r="C57" s="11"/>
      <c r="D57" s="7" t="s">
        <v>32</v>
      </c>
      <c r="E57" s="42" t="s">
        <v>52</v>
      </c>
      <c r="F57" s="53">
        <v>40</v>
      </c>
      <c r="G57" s="54">
        <v>2.64</v>
      </c>
      <c r="H57" s="55">
        <v>0.48</v>
      </c>
      <c r="I57" s="55">
        <v>13.68</v>
      </c>
      <c r="J57" s="55">
        <v>69.599999999999994</v>
      </c>
      <c r="K57" s="44" t="s">
        <v>44</v>
      </c>
      <c r="L57" s="43">
        <v>1.43</v>
      </c>
    </row>
    <row r="58" spans="1:12" ht="14.4" x14ac:dyDescent="0.3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4"/>
      <c r="B60" s="17"/>
      <c r="C60" s="8"/>
      <c r="D60" s="18" t="s">
        <v>33</v>
      </c>
      <c r="E60" s="9"/>
      <c r="F60" s="19">
        <f>SUM(F51:F59)</f>
        <v>790</v>
      </c>
      <c r="G60" s="19">
        <f>SUM(G51:G59)</f>
        <v>29.372666666666667</v>
      </c>
      <c r="H60" s="19">
        <f>SUM(H51:H59)</f>
        <v>31.419333333333338</v>
      </c>
      <c r="I60" s="19">
        <f>SUM(I51:I59)</f>
        <v>112.84200000000001</v>
      </c>
      <c r="J60" s="19">
        <f>SUM(J51:J59)</f>
        <v>851.63266666666675</v>
      </c>
      <c r="K60" s="25"/>
      <c r="L60" s="19">
        <f>SUM(L51:L59)</f>
        <v>74.000000000000014</v>
      </c>
    </row>
    <row r="61" spans="1:12" ht="15.75" customHeight="1" thickBot="1" x14ac:dyDescent="0.3">
      <c r="A61" s="29">
        <f>A43</f>
        <v>1</v>
      </c>
      <c r="B61" s="30">
        <f>B43</f>
        <v>3</v>
      </c>
      <c r="C61" s="73" t="s">
        <v>4</v>
      </c>
      <c r="D61" s="74"/>
      <c r="E61" s="31"/>
      <c r="F61" s="32">
        <f>F50+F60</f>
        <v>1320</v>
      </c>
      <c r="G61" s="32">
        <f>G50+G60</f>
        <v>47.679333333333332</v>
      </c>
      <c r="H61" s="32">
        <f>H50+H60</f>
        <v>46.232666666666674</v>
      </c>
      <c r="I61" s="32">
        <f>I50+I60</f>
        <v>195.30200000000002</v>
      </c>
      <c r="J61" s="32">
        <f>J50+J60</f>
        <v>1388.0193333333334</v>
      </c>
      <c r="K61" s="32"/>
      <c r="L61" s="32">
        <f>L50+L60</f>
        <v>139.80000000000001</v>
      </c>
    </row>
    <row r="62" spans="1:12" ht="26.4" x14ac:dyDescent="0.3">
      <c r="A62" s="20">
        <v>1</v>
      </c>
      <c r="B62" s="21">
        <v>4</v>
      </c>
      <c r="C62" s="22" t="s">
        <v>20</v>
      </c>
      <c r="D62" s="5" t="s">
        <v>21</v>
      </c>
      <c r="E62" s="39" t="s">
        <v>68</v>
      </c>
      <c r="F62" s="53">
        <v>90</v>
      </c>
      <c r="G62" s="54">
        <f>F62*13.46/100</f>
        <v>12.114000000000001</v>
      </c>
      <c r="H62" s="54">
        <f>F62*10.86/100</f>
        <v>9.7739999999999991</v>
      </c>
      <c r="I62" s="54">
        <f>F62*5.34/100</f>
        <v>4.806</v>
      </c>
      <c r="J62" s="54">
        <f>G62*4+H62*9+I62*4</f>
        <v>155.64599999999999</v>
      </c>
      <c r="K62" s="41">
        <v>268</v>
      </c>
      <c r="L62" s="40">
        <v>20.87</v>
      </c>
    </row>
    <row r="63" spans="1:12" ht="14.4" x14ac:dyDescent="0.3">
      <c r="A63" s="23"/>
      <c r="B63" s="15"/>
      <c r="C63" s="11"/>
      <c r="D63" s="6" t="s">
        <v>21</v>
      </c>
      <c r="E63" s="42" t="s">
        <v>50</v>
      </c>
      <c r="F63" s="53">
        <v>150</v>
      </c>
      <c r="G63" s="54">
        <f>5.7*F63/150</f>
        <v>5.7</v>
      </c>
      <c r="H63" s="54">
        <f>3.43*F63/150</f>
        <v>3.43</v>
      </c>
      <c r="I63" s="54">
        <f>36.45*F63/150</f>
        <v>36.450000000000003</v>
      </c>
      <c r="J63" s="54">
        <f>G63*4+H63*9+I63*4</f>
        <v>199.47000000000003</v>
      </c>
      <c r="K63" s="44">
        <v>203</v>
      </c>
      <c r="L63" s="43">
        <v>7.44</v>
      </c>
    </row>
    <row r="64" spans="1:12" ht="14.4" x14ac:dyDescent="0.3">
      <c r="A64" s="23"/>
      <c r="B64" s="15"/>
      <c r="C64" s="11"/>
      <c r="D64" s="7" t="s">
        <v>22</v>
      </c>
      <c r="E64" s="42" t="s">
        <v>51</v>
      </c>
      <c r="F64" s="53">
        <v>204</v>
      </c>
      <c r="G64" s="54">
        <v>0.26</v>
      </c>
      <c r="H64" s="54">
        <v>0.06</v>
      </c>
      <c r="I64" s="54">
        <v>15.22</v>
      </c>
      <c r="J64" s="54">
        <f>G64*4+H64*9+I64*4</f>
        <v>62.46</v>
      </c>
      <c r="K64" s="44">
        <v>377</v>
      </c>
      <c r="L64" s="43">
        <v>8.8699999999999992</v>
      </c>
    </row>
    <row r="65" spans="1:12" ht="14.4" x14ac:dyDescent="0.3">
      <c r="A65" s="23"/>
      <c r="B65" s="15"/>
      <c r="C65" s="11"/>
      <c r="D65" s="7" t="s">
        <v>23</v>
      </c>
      <c r="E65" s="42" t="s">
        <v>43</v>
      </c>
      <c r="F65" s="53">
        <v>40</v>
      </c>
      <c r="G65" s="54">
        <f>1.52*F65/30</f>
        <v>2.0266666666666664</v>
      </c>
      <c r="H65" s="55">
        <f>0.16*F65/30</f>
        <v>0.21333333333333335</v>
      </c>
      <c r="I65" s="55">
        <f>9.84*F65/30</f>
        <v>13.120000000000001</v>
      </c>
      <c r="J65" s="55">
        <f>G65*4+H65*9+I65*4</f>
        <v>62.506666666666668</v>
      </c>
      <c r="K65" s="44" t="s">
        <v>44</v>
      </c>
      <c r="L65" s="43">
        <v>2.62</v>
      </c>
    </row>
    <row r="66" spans="1:12" ht="14.4" x14ac:dyDescent="0.3">
      <c r="A66" s="23"/>
      <c r="B66" s="15"/>
      <c r="C66" s="11"/>
      <c r="D66" s="7" t="s">
        <v>24</v>
      </c>
      <c r="E66" s="42" t="s">
        <v>69</v>
      </c>
      <c r="F66" s="53">
        <v>100</v>
      </c>
      <c r="G66" s="54">
        <f>F66*0.2/50</f>
        <v>0.4</v>
      </c>
      <c r="H66" s="59">
        <f>F66*0.15/50</f>
        <v>0.3</v>
      </c>
      <c r="I66" s="56">
        <f>F66*5.15/50</f>
        <v>10.3</v>
      </c>
      <c r="J66" s="56">
        <f>G66*4+H66*9+I66*4</f>
        <v>45.5</v>
      </c>
      <c r="K66" s="44">
        <v>338</v>
      </c>
      <c r="L66" s="43">
        <v>26</v>
      </c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4"/>
      <c r="B69" s="17"/>
      <c r="C69" s="8"/>
      <c r="D69" s="18" t="s">
        <v>33</v>
      </c>
      <c r="E69" s="9"/>
      <c r="F69" s="19">
        <f>SUM(F62:F68)</f>
        <v>584</v>
      </c>
      <c r="G69" s="19">
        <f>SUM(G62:G68)</f>
        <v>20.500666666666667</v>
      </c>
      <c r="H69" s="19">
        <f>SUM(H62:H68)</f>
        <v>13.777333333333333</v>
      </c>
      <c r="I69" s="19">
        <f>SUM(I62:I68)</f>
        <v>79.896000000000001</v>
      </c>
      <c r="J69" s="19">
        <f>SUM(J62:J68)</f>
        <v>525.58266666666668</v>
      </c>
      <c r="K69" s="25"/>
      <c r="L69" s="19">
        <f>SUM(L62:L68)</f>
        <v>65.8</v>
      </c>
    </row>
    <row r="70" spans="1:12" ht="14.4" x14ac:dyDescent="0.3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 t="s">
        <v>70</v>
      </c>
      <c r="F70" s="53">
        <v>60</v>
      </c>
      <c r="G70" s="54">
        <v>0.9</v>
      </c>
      <c r="H70" s="56">
        <v>3.1</v>
      </c>
      <c r="I70" s="56">
        <v>5.6</v>
      </c>
      <c r="J70" s="54">
        <f>G70*4+H70*9+I70*4</f>
        <v>53.900000000000006</v>
      </c>
      <c r="K70" s="44">
        <v>56</v>
      </c>
      <c r="L70" s="43">
        <v>1.038</v>
      </c>
    </row>
    <row r="71" spans="1:12" ht="14.4" x14ac:dyDescent="0.3">
      <c r="A71" s="23"/>
      <c r="B71" s="15"/>
      <c r="C71" s="11"/>
      <c r="D71" s="7" t="s">
        <v>27</v>
      </c>
      <c r="E71" s="42" t="s">
        <v>71</v>
      </c>
      <c r="F71" s="53">
        <v>200</v>
      </c>
      <c r="G71" s="54">
        <f>2.6*F71/250</f>
        <v>2.08</v>
      </c>
      <c r="H71" s="56">
        <f>6.13*F71/250</f>
        <v>4.9039999999999999</v>
      </c>
      <c r="I71" s="56">
        <f>17.03*F71/250</f>
        <v>13.624000000000001</v>
      </c>
      <c r="J71" s="54">
        <f t="shared" ref="J71:J73" si="2">G71*4+H71*9+I71*4</f>
        <v>106.952</v>
      </c>
      <c r="K71" s="44">
        <v>96</v>
      </c>
      <c r="L71" s="43">
        <v>4.46</v>
      </c>
    </row>
    <row r="72" spans="1:12" ht="26.4" x14ac:dyDescent="0.3">
      <c r="A72" s="23"/>
      <c r="B72" s="15"/>
      <c r="C72" s="11"/>
      <c r="D72" s="7" t="s">
        <v>28</v>
      </c>
      <c r="E72" s="42" t="s">
        <v>72</v>
      </c>
      <c r="F72" s="53">
        <v>90</v>
      </c>
      <c r="G72" s="54">
        <f>14.83*F72/80</f>
        <v>16.68375</v>
      </c>
      <c r="H72" s="56">
        <f>20.69*F72/80</f>
        <v>23.276250000000001</v>
      </c>
      <c r="I72" s="56">
        <f>3.81*F72/80</f>
        <v>4.2862499999999999</v>
      </c>
      <c r="J72" s="54">
        <f t="shared" si="2"/>
        <v>293.36624999999998</v>
      </c>
      <c r="K72" s="44">
        <v>266</v>
      </c>
      <c r="L72" s="43">
        <v>35.451999999999998</v>
      </c>
    </row>
    <row r="73" spans="1:12" ht="14.4" x14ac:dyDescent="0.3">
      <c r="A73" s="23"/>
      <c r="B73" s="15"/>
      <c r="C73" s="11"/>
      <c r="D73" s="7" t="s">
        <v>29</v>
      </c>
      <c r="E73" s="42" t="s">
        <v>59</v>
      </c>
      <c r="F73" s="53">
        <v>150</v>
      </c>
      <c r="G73" s="54">
        <f>F73*3.29/150</f>
        <v>3.29</v>
      </c>
      <c r="H73" s="54">
        <f>F73*7.06/150</f>
        <v>7.06</v>
      </c>
      <c r="I73" s="54">
        <f>F73*22.21/150</f>
        <v>22.21</v>
      </c>
      <c r="J73" s="54">
        <f t="shared" si="2"/>
        <v>165.54000000000002</v>
      </c>
      <c r="K73" s="44">
        <v>312</v>
      </c>
      <c r="L73" s="43">
        <v>10</v>
      </c>
    </row>
    <row r="74" spans="1:12" ht="14.4" x14ac:dyDescent="0.3">
      <c r="A74" s="23"/>
      <c r="B74" s="15"/>
      <c r="C74" s="11"/>
      <c r="D74" s="7" t="s">
        <v>30</v>
      </c>
      <c r="E74" s="42" t="s">
        <v>73</v>
      </c>
      <c r="F74" s="53">
        <v>200</v>
      </c>
      <c r="G74" s="54">
        <v>1</v>
      </c>
      <c r="H74" s="54">
        <v>0.2</v>
      </c>
      <c r="I74" s="54">
        <v>20.2</v>
      </c>
      <c r="J74" s="54">
        <f>G74*4+H74*9+I74*4</f>
        <v>86.6</v>
      </c>
      <c r="K74" s="44">
        <v>389</v>
      </c>
      <c r="L74" s="43">
        <v>19</v>
      </c>
    </row>
    <row r="75" spans="1:12" ht="14.4" x14ac:dyDescent="0.3">
      <c r="A75" s="23"/>
      <c r="B75" s="15"/>
      <c r="C75" s="11"/>
      <c r="D75" s="7" t="s">
        <v>31</v>
      </c>
      <c r="E75" s="42" t="s">
        <v>43</v>
      </c>
      <c r="F75" s="53">
        <v>40</v>
      </c>
      <c r="G75" s="54">
        <f>1.52*F75/30</f>
        <v>2.0266666666666664</v>
      </c>
      <c r="H75" s="55">
        <f>0.16*F75/30</f>
        <v>0.21333333333333335</v>
      </c>
      <c r="I75" s="55">
        <f>9.84*F75/30</f>
        <v>13.120000000000001</v>
      </c>
      <c r="J75" s="55">
        <f>G75*4+H75*9+I75*4</f>
        <v>62.506666666666668</v>
      </c>
      <c r="K75" s="44" t="s">
        <v>44</v>
      </c>
      <c r="L75" s="43">
        <v>2.62</v>
      </c>
    </row>
    <row r="76" spans="1:12" ht="14.4" x14ac:dyDescent="0.3">
      <c r="A76" s="23"/>
      <c r="B76" s="15"/>
      <c r="C76" s="11"/>
      <c r="D76" s="7" t="s">
        <v>32</v>
      </c>
      <c r="E76" s="42" t="s">
        <v>52</v>
      </c>
      <c r="F76" s="53">
        <v>40</v>
      </c>
      <c r="G76" s="54">
        <v>2.64</v>
      </c>
      <c r="H76" s="55">
        <v>0.48</v>
      </c>
      <c r="I76" s="55">
        <v>13.68</v>
      </c>
      <c r="J76" s="55">
        <v>69.599999999999994</v>
      </c>
      <c r="K76" s="44" t="s">
        <v>44</v>
      </c>
      <c r="L76" s="43">
        <v>1.43</v>
      </c>
    </row>
    <row r="77" spans="1:12" ht="14.4" x14ac:dyDescent="0.3">
      <c r="A77" s="23"/>
      <c r="B77" s="15"/>
      <c r="C77" s="11"/>
      <c r="D77" s="6"/>
      <c r="E77" s="42"/>
      <c r="F77" s="61"/>
      <c r="G77" s="62"/>
      <c r="H77" s="63"/>
      <c r="I77" s="62"/>
      <c r="J77" s="62"/>
      <c r="K77" s="44"/>
      <c r="L77" s="43"/>
    </row>
    <row r="78" spans="1:12" ht="14.4" x14ac:dyDescent="0.3">
      <c r="A78" s="23"/>
      <c r="B78" s="15"/>
      <c r="C78" s="11"/>
      <c r="D78" s="6"/>
      <c r="E78" s="42"/>
      <c r="F78" s="53"/>
      <c r="G78" s="54"/>
      <c r="H78" s="54"/>
      <c r="I78" s="54"/>
      <c r="J78" s="54"/>
      <c r="K78" s="44"/>
      <c r="L78" s="43"/>
    </row>
    <row r="79" spans="1:12" ht="14.4" x14ac:dyDescent="0.3">
      <c r="A79" s="24"/>
      <c r="B79" s="17"/>
      <c r="C79" s="8"/>
      <c r="D79" s="18" t="s">
        <v>33</v>
      </c>
      <c r="E79" s="9"/>
      <c r="F79" s="19">
        <f>SUM(F70:F78)</f>
        <v>780</v>
      </c>
      <c r="G79" s="19">
        <f>SUM(G70:G78)</f>
        <v>28.620416666666667</v>
      </c>
      <c r="H79" s="19">
        <f>SUM(H70:H78)</f>
        <v>39.233583333333335</v>
      </c>
      <c r="I79" s="19">
        <f>SUM(I70:I78)</f>
        <v>92.720249999999993</v>
      </c>
      <c r="J79" s="19">
        <f>SUM(J70:J78)</f>
        <v>838.4649166666668</v>
      </c>
      <c r="K79" s="25"/>
      <c r="L79" s="19">
        <f>SUM(L70:L78)</f>
        <v>74</v>
      </c>
    </row>
    <row r="80" spans="1:12" ht="15.75" customHeight="1" thickBot="1" x14ac:dyDescent="0.3">
      <c r="A80" s="29">
        <f>A62</f>
        <v>1</v>
      </c>
      <c r="B80" s="30">
        <f>B62</f>
        <v>4</v>
      </c>
      <c r="C80" s="73" t="s">
        <v>4</v>
      </c>
      <c r="D80" s="74"/>
      <c r="E80" s="31"/>
      <c r="F80" s="32">
        <f>F69+F79</f>
        <v>1364</v>
      </c>
      <c r="G80" s="32">
        <f>G69+G79</f>
        <v>49.121083333333331</v>
      </c>
      <c r="H80" s="32">
        <f>H69+H79</f>
        <v>53.010916666666667</v>
      </c>
      <c r="I80" s="32">
        <f>I69+I79</f>
        <v>172.61624999999998</v>
      </c>
      <c r="J80" s="32">
        <f>J69+J79</f>
        <v>1364.0475833333335</v>
      </c>
      <c r="K80" s="32"/>
      <c r="L80" s="32">
        <f>L69+L79</f>
        <v>139.80000000000001</v>
      </c>
    </row>
    <row r="81" spans="1:12" ht="14.4" x14ac:dyDescent="0.3">
      <c r="A81" s="20">
        <v>1</v>
      </c>
      <c r="B81" s="21">
        <v>5</v>
      </c>
      <c r="C81" s="22" t="s">
        <v>20</v>
      </c>
      <c r="D81" s="5" t="s">
        <v>21</v>
      </c>
      <c r="E81" s="39" t="s">
        <v>74</v>
      </c>
      <c r="F81" s="53">
        <v>200</v>
      </c>
      <c r="G81" s="54">
        <v>16.29</v>
      </c>
      <c r="H81" s="54">
        <v>18.989999999999998</v>
      </c>
      <c r="I81" s="54">
        <v>5.04</v>
      </c>
      <c r="J81" s="40">
        <v>256.23</v>
      </c>
      <c r="K81" s="41">
        <v>210</v>
      </c>
      <c r="L81" s="40">
        <v>28.27</v>
      </c>
    </row>
    <row r="82" spans="1:12" ht="14.4" x14ac:dyDescent="0.3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4.4" x14ac:dyDescent="0.3">
      <c r="A83" s="23"/>
      <c r="B83" s="15"/>
      <c r="C83" s="11"/>
      <c r="D83" s="7" t="s">
        <v>22</v>
      </c>
      <c r="E83" s="42" t="s">
        <v>62</v>
      </c>
      <c r="F83" s="53">
        <v>200</v>
      </c>
      <c r="G83" s="54">
        <v>0.2</v>
      </c>
      <c r="H83" s="54">
        <v>0.05</v>
      </c>
      <c r="I83" s="54">
        <v>15.01</v>
      </c>
      <c r="J83" s="54">
        <f t="shared" ref="J83" si="3">G83*4+H83*9+I83*4</f>
        <v>61.29</v>
      </c>
      <c r="K83" s="44">
        <v>376</v>
      </c>
      <c r="L83" s="43">
        <v>2.0299999999999998</v>
      </c>
    </row>
    <row r="84" spans="1:12" ht="14.4" x14ac:dyDescent="0.3">
      <c r="A84" s="23"/>
      <c r="B84" s="15"/>
      <c r="C84" s="11"/>
      <c r="D84" s="7" t="s">
        <v>23</v>
      </c>
      <c r="E84" s="42" t="s">
        <v>43</v>
      </c>
      <c r="F84" s="53">
        <v>40</v>
      </c>
      <c r="G84" s="54">
        <f>1.52*F84/30</f>
        <v>2.0266666666666664</v>
      </c>
      <c r="H84" s="55">
        <f>0.16*F84/30</f>
        <v>0.21333333333333335</v>
      </c>
      <c r="I84" s="55">
        <f>9.84*F84/30</f>
        <v>13.120000000000001</v>
      </c>
      <c r="J84" s="55">
        <f>G84*4+H84*9+I84*4</f>
        <v>62.506666666666668</v>
      </c>
      <c r="K84" s="44" t="s">
        <v>44</v>
      </c>
      <c r="L84" s="43">
        <v>2.62</v>
      </c>
    </row>
    <row r="85" spans="1:12" ht="14.4" x14ac:dyDescent="0.3">
      <c r="A85" s="23"/>
      <c r="B85" s="15"/>
      <c r="C85" s="11"/>
      <c r="D85" s="7" t="s">
        <v>24</v>
      </c>
      <c r="E85" s="42" t="s">
        <v>45</v>
      </c>
      <c r="F85" s="53">
        <v>100</v>
      </c>
      <c r="G85" s="54">
        <v>0.4</v>
      </c>
      <c r="H85" s="59">
        <v>0.4</v>
      </c>
      <c r="I85" s="56">
        <v>9.8000000000000007</v>
      </c>
      <c r="J85" s="56">
        <f t="shared" ref="J85" si="4">G85*4+H85*9+I85*4</f>
        <v>44.400000000000006</v>
      </c>
      <c r="K85" s="44">
        <v>338</v>
      </c>
      <c r="L85" s="43">
        <v>13.5</v>
      </c>
    </row>
    <row r="86" spans="1:12" ht="14.4" x14ac:dyDescent="0.3">
      <c r="A86" s="23"/>
      <c r="B86" s="15"/>
      <c r="C86" s="11"/>
      <c r="D86" s="6"/>
      <c r="E86" s="42" t="s">
        <v>75</v>
      </c>
      <c r="F86" s="61">
        <v>20</v>
      </c>
      <c r="G86" s="62">
        <v>4.5999999999999996</v>
      </c>
      <c r="H86" s="63">
        <v>0.24</v>
      </c>
      <c r="I86" s="62">
        <v>10.66</v>
      </c>
      <c r="J86" s="62">
        <f t="shared" ref="J86:J87" si="5">G86*4+H86*9+I86*4</f>
        <v>63.2</v>
      </c>
      <c r="K86" s="44">
        <v>131</v>
      </c>
      <c r="L86" s="43">
        <v>5.25</v>
      </c>
    </row>
    <row r="87" spans="1:12" ht="14.4" x14ac:dyDescent="0.3">
      <c r="A87" s="23"/>
      <c r="B87" s="15"/>
      <c r="C87" s="11"/>
      <c r="D87" s="6"/>
      <c r="E87" s="42" t="s">
        <v>46</v>
      </c>
      <c r="F87" s="53">
        <v>20</v>
      </c>
      <c r="G87" s="54">
        <f>2.32*F87/10</f>
        <v>4.6399999999999997</v>
      </c>
      <c r="H87" s="54">
        <f>3.4*F87/10</f>
        <v>6.8</v>
      </c>
      <c r="I87" s="54">
        <f>0.01*F87/10</f>
        <v>0.02</v>
      </c>
      <c r="J87" s="54">
        <f t="shared" si="5"/>
        <v>79.839999999999989</v>
      </c>
      <c r="K87" s="44">
        <v>15</v>
      </c>
      <c r="L87" s="43">
        <v>14.13</v>
      </c>
    </row>
    <row r="88" spans="1:12" ht="14.4" x14ac:dyDescent="0.3">
      <c r="A88" s="24"/>
      <c r="B88" s="17"/>
      <c r="C88" s="8"/>
      <c r="D88" s="18" t="s">
        <v>33</v>
      </c>
      <c r="E88" s="9"/>
      <c r="F88" s="64">
        <f>SUM(F81:F87)</f>
        <v>580</v>
      </c>
      <c r="G88" s="19">
        <f>SUM(G81:G87)</f>
        <v>28.156666666666666</v>
      </c>
      <c r="H88" s="19">
        <f>SUM(H81:H87)</f>
        <v>26.693333333333332</v>
      </c>
      <c r="I88" s="19">
        <f>SUM(I81:I87)</f>
        <v>53.65</v>
      </c>
      <c r="J88" s="19">
        <f>SUM(J81:J87)</f>
        <v>567.4666666666667</v>
      </c>
      <c r="K88" s="25"/>
      <c r="L88" s="19">
        <f>SUM(L81:L87)</f>
        <v>65.8</v>
      </c>
    </row>
    <row r="89" spans="1:12" ht="14.4" x14ac:dyDescent="0.3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 t="s">
        <v>56</v>
      </c>
      <c r="F89" s="53">
        <v>60</v>
      </c>
      <c r="G89" s="54">
        <v>0.86</v>
      </c>
      <c r="H89" s="54">
        <v>3.05</v>
      </c>
      <c r="I89" s="54">
        <v>5.13</v>
      </c>
      <c r="J89" s="54">
        <f t="shared" ref="J89:J93" si="6">G89*4+H89*9+I89*4</f>
        <v>51.41</v>
      </c>
      <c r="K89" s="44">
        <v>52</v>
      </c>
      <c r="L89" s="43">
        <v>2.2999999999999998</v>
      </c>
    </row>
    <row r="90" spans="1:12" ht="14.4" x14ac:dyDescent="0.3">
      <c r="A90" s="23"/>
      <c r="B90" s="15"/>
      <c r="C90" s="11"/>
      <c r="D90" s="7" t="s">
        <v>27</v>
      </c>
      <c r="E90" s="42" t="s">
        <v>76</v>
      </c>
      <c r="F90" s="59">
        <v>230</v>
      </c>
      <c r="G90" s="54">
        <v>12.6</v>
      </c>
      <c r="H90" s="54">
        <v>13.3</v>
      </c>
      <c r="I90" s="54">
        <v>27.9</v>
      </c>
      <c r="J90" s="54">
        <f t="shared" si="6"/>
        <v>281.7</v>
      </c>
      <c r="K90" s="44">
        <v>106</v>
      </c>
      <c r="L90" s="43">
        <v>26</v>
      </c>
    </row>
    <row r="91" spans="1:12" ht="14.4" x14ac:dyDescent="0.3">
      <c r="A91" s="23"/>
      <c r="B91" s="15"/>
      <c r="C91" s="11"/>
      <c r="D91" s="7" t="s">
        <v>28</v>
      </c>
      <c r="E91" s="42" t="s">
        <v>77</v>
      </c>
      <c r="F91" s="59">
        <v>90</v>
      </c>
      <c r="G91" s="54">
        <f>15.24*F91/100</f>
        <v>13.715999999999999</v>
      </c>
      <c r="H91" s="56">
        <f>5.8*F91/100</f>
        <v>5.22</v>
      </c>
      <c r="I91" s="56">
        <f>10.16*F91/100</f>
        <v>9.1440000000000001</v>
      </c>
      <c r="J91" s="54">
        <f t="shared" si="6"/>
        <v>138.41999999999999</v>
      </c>
      <c r="K91" s="44">
        <v>295</v>
      </c>
      <c r="L91" s="43">
        <v>22.65</v>
      </c>
    </row>
    <row r="92" spans="1:12" ht="14.4" x14ac:dyDescent="0.3">
      <c r="A92" s="23"/>
      <c r="B92" s="15"/>
      <c r="C92" s="11"/>
      <c r="D92" s="7" t="s">
        <v>29</v>
      </c>
      <c r="E92" s="42" t="s">
        <v>78</v>
      </c>
      <c r="F92" s="53">
        <v>150</v>
      </c>
      <c r="G92" s="54">
        <f>2.77*F92/150</f>
        <v>2.77</v>
      </c>
      <c r="H92" s="54">
        <f>4.84*F92/150</f>
        <v>4.84</v>
      </c>
      <c r="I92" s="54">
        <f>10.78*F92/150</f>
        <v>10.78</v>
      </c>
      <c r="J92" s="54">
        <f t="shared" si="6"/>
        <v>97.759999999999991</v>
      </c>
      <c r="K92" s="44">
        <v>139</v>
      </c>
      <c r="L92" s="43">
        <v>8</v>
      </c>
    </row>
    <row r="93" spans="1:12" ht="14.4" x14ac:dyDescent="0.3">
      <c r="A93" s="23"/>
      <c r="B93" s="15"/>
      <c r="C93" s="11"/>
      <c r="D93" s="7" t="s">
        <v>30</v>
      </c>
      <c r="E93" s="42" t="s">
        <v>79</v>
      </c>
      <c r="F93" s="53">
        <v>200</v>
      </c>
      <c r="G93" s="54">
        <v>0.1</v>
      </c>
      <c r="H93" s="54">
        <v>0.1</v>
      </c>
      <c r="I93" s="54">
        <v>15.36</v>
      </c>
      <c r="J93" s="54">
        <f t="shared" si="6"/>
        <v>62.739999999999995</v>
      </c>
      <c r="K93" s="44">
        <v>345</v>
      </c>
      <c r="L93" s="43">
        <v>11</v>
      </c>
    </row>
    <row r="94" spans="1:12" ht="14.4" x14ac:dyDescent="0.3">
      <c r="A94" s="23"/>
      <c r="B94" s="15"/>
      <c r="C94" s="11"/>
      <c r="D94" s="7" t="s">
        <v>31</v>
      </c>
      <c r="E94" s="42" t="s">
        <v>43</v>
      </c>
      <c r="F94" s="53">
        <v>40</v>
      </c>
      <c r="G94" s="54">
        <f>1.52*F94/30</f>
        <v>2.0266666666666664</v>
      </c>
      <c r="H94" s="55">
        <f>0.16*F94/30</f>
        <v>0.21333333333333335</v>
      </c>
      <c r="I94" s="55">
        <f>9.84*F94/30</f>
        <v>13.120000000000001</v>
      </c>
      <c r="J94" s="55">
        <f>G94*4+H94*9+I94*4</f>
        <v>62.506666666666668</v>
      </c>
      <c r="K94" s="44" t="s">
        <v>44</v>
      </c>
      <c r="L94" s="43">
        <v>2.62</v>
      </c>
    </row>
    <row r="95" spans="1:12" ht="14.4" x14ac:dyDescent="0.3">
      <c r="A95" s="23"/>
      <c r="B95" s="15"/>
      <c r="C95" s="11"/>
      <c r="D95" s="7" t="s">
        <v>32</v>
      </c>
      <c r="E95" s="42" t="s">
        <v>52</v>
      </c>
      <c r="F95" s="53">
        <v>40</v>
      </c>
      <c r="G95" s="54">
        <v>2.64</v>
      </c>
      <c r="H95" s="55">
        <v>0.48</v>
      </c>
      <c r="I95" s="55">
        <v>13.68</v>
      </c>
      <c r="J95" s="55">
        <v>69.599999999999994</v>
      </c>
      <c r="K95" s="44" t="s">
        <v>44</v>
      </c>
      <c r="L95" s="43">
        <v>1.43</v>
      </c>
    </row>
    <row r="96" spans="1:12" ht="14.4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4"/>
      <c r="B98" s="17"/>
      <c r="C98" s="8"/>
      <c r="D98" s="18" t="s">
        <v>33</v>
      </c>
      <c r="E98" s="9"/>
      <c r="F98" s="19">
        <f>SUM(F89:F97)</f>
        <v>810</v>
      </c>
      <c r="G98" s="19">
        <f>SUM(G89:G97)</f>
        <v>34.712666666666664</v>
      </c>
      <c r="H98" s="19">
        <f>SUM(H89:H97)</f>
        <v>27.203333333333337</v>
      </c>
      <c r="I98" s="19">
        <f>SUM(I89:I97)</f>
        <v>95.114000000000004</v>
      </c>
      <c r="J98" s="19">
        <f>SUM(J89:J97)</f>
        <v>764.13666666666666</v>
      </c>
      <c r="K98" s="25"/>
      <c r="L98" s="19">
        <f>SUM(L89:L97)</f>
        <v>74.000000000000014</v>
      </c>
    </row>
    <row r="99" spans="1:12" ht="15.75" customHeight="1" thickBot="1" x14ac:dyDescent="0.3">
      <c r="A99" s="29">
        <f>A81</f>
        <v>1</v>
      </c>
      <c r="B99" s="30">
        <f>B81</f>
        <v>5</v>
      </c>
      <c r="C99" s="73" t="s">
        <v>4</v>
      </c>
      <c r="D99" s="74"/>
      <c r="E99" s="31"/>
      <c r="F99" s="32">
        <f>F88+F98</f>
        <v>1390</v>
      </c>
      <c r="G99" s="32">
        <f>G88+G98</f>
        <v>62.86933333333333</v>
      </c>
      <c r="H99" s="32">
        <f>H88+H98</f>
        <v>53.896666666666668</v>
      </c>
      <c r="I99" s="32">
        <f>I88+I98</f>
        <v>148.76400000000001</v>
      </c>
      <c r="J99" s="32">
        <f>J88+J98</f>
        <v>1331.6033333333335</v>
      </c>
      <c r="K99" s="32"/>
      <c r="L99" s="32">
        <f>L88+L98</f>
        <v>139.80000000000001</v>
      </c>
    </row>
    <row r="100" spans="1:12" ht="14.4" x14ac:dyDescent="0.3">
      <c r="A100" s="20">
        <v>2</v>
      </c>
      <c r="B100" s="21">
        <v>1</v>
      </c>
      <c r="C100" s="22" t="s">
        <v>20</v>
      </c>
      <c r="D100" s="5" t="s">
        <v>21</v>
      </c>
      <c r="E100" s="39" t="s">
        <v>80</v>
      </c>
      <c r="F100" s="53">
        <v>200</v>
      </c>
      <c r="G100" s="54">
        <v>7.3</v>
      </c>
      <c r="H100" s="56">
        <v>12.5</v>
      </c>
      <c r="I100" s="56">
        <v>54.3</v>
      </c>
      <c r="J100" s="56">
        <f>G100*4+H100*9+I100*4</f>
        <v>358.9</v>
      </c>
      <c r="K100" s="41">
        <v>173</v>
      </c>
      <c r="L100" s="40">
        <v>11.55</v>
      </c>
    </row>
    <row r="101" spans="1:12" ht="14.4" x14ac:dyDescent="0.3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 x14ac:dyDescent="0.3">
      <c r="A102" s="23"/>
      <c r="B102" s="15"/>
      <c r="C102" s="11"/>
      <c r="D102" s="7" t="s">
        <v>22</v>
      </c>
      <c r="E102" s="42" t="s">
        <v>55</v>
      </c>
      <c r="F102" s="53">
        <v>200</v>
      </c>
      <c r="G102" s="54">
        <v>3.17</v>
      </c>
      <c r="H102" s="54">
        <v>2.68</v>
      </c>
      <c r="I102" s="54">
        <v>15.95</v>
      </c>
      <c r="J102" s="54">
        <f>G102*4+H102*9+I102*4</f>
        <v>100.6</v>
      </c>
      <c r="K102" s="44">
        <v>379</v>
      </c>
      <c r="L102" s="43">
        <v>8.5299999999999994</v>
      </c>
    </row>
    <row r="103" spans="1:12" ht="14.4" x14ac:dyDescent="0.3">
      <c r="A103" s="23"/>
      <c r="B103" s="15"/>
      <c r="C103" s="11"/>
      <c r="D103" s="7" t="s">
        <v>23</v>
      </c>
      <c r="E103" s="42" t="s">
        <v>43</v>
      </c>
      <c r="F103" s="53">
        <v>40</v>
      </c>
      <c r="G103" s="54">
        <f>1.52*F103/30</f>
        <v>2.0266666666666664</v>
      </c>
      <c r="H103" s="55">
        <f>0.16*F103/30</f>
        <v>0.21333333333333335</v>
      </c>
      <c r="I103" s="55">
        <f>9.84*F103/30</f>
        <v>13.120000000000001</v>
      </c>
      <c r="J103" s="55">
        <f>G103*4+H103*9+I103*4</f>
        <v>62.506666666666668</v>
      </c>
      <c r="K103" s="44" t="s">
        <v>44</v>
      </c>
      <c r="L103" s="43">
        <v>2.62</v>
      </c>
    </row>
    <row r="104" spans="1:12" ht="14.4" x14ac:dyDescent="0.3">
      <c r="A104" s="23"/>
      <c r="B104" s="15"/>
      <c r="C104" s="11"/>
      <c r="D104" s="7" t="s">
        <v>24</v>
      </c>
      <c r="E104" s="42" t="s">
        <v>81</v>
      </c>
      <c r="F104" s="53">
        <v>100</v>
      </c>
      <c r="G104" s="54">
        <v>0.9</v>
      </c>
      <c r="H104" s="59">
        <v>0.2</v>
      </c>
      <c r="I104" s="56">
        <v>8.1</v>
      </c>
      <c r="J104" s="54">
        <f>G104*4+H104*9+I104*4</f>
        <v>37.799999999999997</v>
      </c>
      <c r="K104" s="44">
        <v>338</v>
      </c>
      <c r="L104" s="43">
        <v>28.97</v>
      </c>
    </row>
    <row r="105" spans="1:12" ht="14.4" x14ac:dyDescent="0.3">
      <c r="A105" s="23"/>
      <c r="B105" s="15"/>
      <c r="C105" s="11"/>
      <c r="D105" s="6"/>
      <c r="E105" s="42" t="s">
        <v>46</v>
      </c>
      <c r="F105" s="53">
        <v>20</v>
      </c>
      <c r="G105" s="54">
        <f>2.32*F105/10</f>
        <v>4.6399999999999997</v>
      </c>
      <c r="H105" s="54">
        <f>3.4*F105/10</f>
        <v>6.8</v>
      </c>
      <c r="I105" s="54">
        <f>0.01*F105/10</f>
        <v>0.02</v>
      </c>
      <c r="J105" s="54">
        <f t="shared" ref="J105" si="7">G105*4+H105*9+I105*4</f>
        <v>79.839999999999989</v>
      </c>
      <c r="K105" s="44">
        <v>15</v>
      </c>
      <c r="L105" s="43">
        <v>14.13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4"/>
      <c r="B107" s="17"/>
      <c r="C107" s="8"/>
      <c r="D107" s="18" t="s">
        <v>33</v>
      </c>
      <c r="E107" s="9"/>
      <c r="F107" s="19">
        <f>SUM(F100:F106)</f>
        <v>560</v>
      </c>
      <c r="G107" s="19">
        <f>SUM(G100:G106)</f>
        <v>18.036666666666665</v>
      </c>
      <c r="H107" s="19">
        <f>SUM(H100:H106)</f>
        <v>22.393333333333331</v>
      </c>
      <c r="I107" s="19">
        <f>SUM(I100:I106)</f>
        <v>91.49</v>
      </c>
      <c r="J107" s="19">
        <f>SUM(J100:J106)</f>
        <v>639.64666666666665</v>
      </c>
      <c r="K107" s="25"/>
      <c r="L107" s="19">
        <f>SUM(L100:L106)</f>
        <v>65.8</v>
      </c>
    </row>
    <row r="108" spans="1:12" ht="25.2" customHeight="1" x14ac:dyDescent="0.3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 t="s">
        <v>64</v>
      </c>
      <c r="F108" s="53">
        <v>60</v>
      </c>
      <c r="G108" s="54">
        <v>0.3</v>
      </c>
      <c r="H108" s="54">
        <v>2</v>
      </c>
      <c r="I108" s="54">
        <v>1.6</v>
      </c>
      <c r="J108" s="54">
        <f t="shared" ref="J108:J111" si="8">G108*4+H108*9+I108*4</f>
        <v>25.6</v>
      </c>
      <c r="K108" s="44">
        <v>24</v>
      </c>
      <c r="L108" s="43">
        <v>10</v>
      </c>
    </row>
    <row r="109" spans="1:12" ht="14.4" x14ac:dyDescent="0.3">
      <c r="A109" s="23"/>
      <c r="B109" s="15"/>
      <c r="C109" s="11"/>
      <c r="D109" s="7" t="s">
        <v>27</v>
      </c>
      <c r="E109" s="42" t="s">
        <v>82</v>
      </c>
      <c r="F109" s="59">
        <v>200</v>
      </c>
      <c r="G109" s="54">
        <v>1.77</v>
      </c>
      <c r="H109" s="54">
        <v>2.65</v>
      </c>
      <c r="I109" s="54">
        <v>12.74</v>
      </c>
      <c r="J109" s="54">
        <f t="shared" si="8"/>
        <v>81.89</v>
      </c>
      <c r="K109" s="44">
        <v>84</v>
      </c>
      <c r="L109" s="43">
        <v>15</v>
      </c>
    </row>
    <row r="110" spans="1:12" ht="14.4" x14ac:dyDescent="0.3">
      <c r="A110" s="23"/>
      <c r="B110" s="15"/>
      <c r="C110" s="11"/>
      <c r="D110" s="7" t="s">
        <v>28</v>
      </c>
      <c r="E110" s="42" t="s">
        <v>83</v>
      </c>
      <c r="F110" s="53">
        <v>90</v>
      </c>
      <c r="G110" s="54">
        <f>14.4*F110/100</f>
        <v>12.96</v>
      </c>
      <c r="H110" s="56">
        <f>14.718*F110/100</f>
        <v>13.246199999999998</v>
      </c>
      <c r="I110" s="56">
        <f>6.368*F110/100</f>
        <v>5.7312000000000003</v>
      </c>
      <c r="J110" s="54">
        <f t="shared" si="8"/>
        <v>193.98059999999998</v>
      </c>
      <c r="K110" s="44">
        <v>261</v>
      </c>
      <c r="L110" s="43">
        <v>29.6</v>
      </c>
    </row>
    <row r="111" spans="1:12" ht="14.4" x14ac:dyDescent="0.3">
      <c r="A111" s="23"/>
      <c r="B111" s="15"/>
      <c r="C111" s="11"/>
      <c r="D111" s="7" t="s">
        <v>29</v>
      </c>
      <c r="E111" s="42" t="s">
        <v>50</v>
      </c>
      <c r="F111" s="53">
        <v>150</v>
      </c>
      <c r="G111" s="54">
        <f>5.7*F111/150</f>
        <v>5.7</v>
      </c>
      <c r="H111" s="54">
        <f>3.43*F111/150</f>
        <v>3.43</v>
      </c>
      <c r="I111" s="54">
        <f>36.45*F111/150</f>
        <v>36.450000000000003</v>
      </c>
      <c r="J111" s="54">
        <f t="shared" si="8"/>
        <v>199.47000000000003</v>
      </c>
      <c r="K111" s="44">
        <v>203</v>
      </c>
      <c r="L111" s="43">
        <v>7.44</v>
      </c>
    </row>
    <row r="112" spans="1:12" ht="14.4" x14ac:dyDescent="0.3">
      <c r="A112" s="23"/>
      <c r="B112" s="15"/>
      <c r="C112" s="11"/>
      <c r="D112" s="7" t="s">
        <v>30</v>
      </c>
      <c r="E112" s="42" t="s">
        <v>84</v>
      </c>
      <c r="F112" s="53">
        <v>200</v>
      </c>
      <c r="G112" s="54">
        <v>0.22</v>
      </c>
      <c r="H112" s="59"/>
      <c r="I112" s="54">
        <v>19.43</v>
      </c>
      <c r="J112" s="54">
        <f>G112*4+H112*9+I112*4</f>
        <v>78.599999999999994</v>
      </c>
      <c r="K112" s="44">
        <v>348</v>
      </c>
      <c r="L112" s="43">
        <v>7.91</v>
      </c>
    </row>
    <row r="113" spans="1:12" ht="14.4" x14ac:dyDescent="0.3">
      <c r="A113" s="23"/>
      <c r="B113" s="15"/>
      <c r="C113" s="11"/>
      <c r="D113" s="7" t="s">
        <v>31</v>
      </c>
      <c r="E113" s="42" t="s">
        <v>43</v>
      </c>
      <c r="F113" s="53">
        <v>40</v>
      </c>
      <c r="G113" s="54">
        <f>1.52*F113/30</f>
        <v>2.0266666666666664</v>
      </c>
      <c r="H113" s="55">
        <f>0.16*F113/30</f>
        <v>0.21333333333333335</v>
      </c>
      <c r="I113" s="55">
        <f>9.84*F113/30</f>
        <v>13.120000000000001</v>
      </c>
      <c r="J113" s="55">
        <f>G113*4+H113*9+I113*4</f>
        <v>62.506666666666668</v>
      </c>
      <c r="K113" s="44" t="s">
        <v>44</v>
      </c>
      <c r="L113" s="43">
        <v>2.62</v>
      </c>
    </row>
    <row r="114" spans="1:12" ht="14.4" x14ac:dyDescent="0.3">
      <c r="A114" s="23"/>
      <c r="B114" s="15"/>
      <c r="C114" s="11"/>
      <c r="D114" s="7" t="s">
        <v>32</v>
      </c>
      <c r="E114" s="42" t="s">
        <v>52</v>
      </c>
      <c r="F114" s="53">
        <v>40</v>
      </c>
      <c r="G114" s="54">
        <v>2.64</v>
      </c>
      <c r="H114" s="55">
        <v>0.48</v>
      </c>
      <c r="I114" s="55">
        <v>13.68</v>
      </c>
      <c r="J114" s="55">
        <v>69.599999999999994</v>
      </c>
      <c r="K114" s="44" t="s">
        <v>44</v>
      </c>
      <c r="L114" s="43">
        <v>1.43</v>
      </c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SUM(F108:F116)</f>
        <v>780</v>
      </c>
      <c r="G117" s="19">
        <f>SUM(G108:G116)</f>
        <v>25.616666666666667</v>
      </c>
      <c r="H117" s="19">
        <f>SUM(H108:H116)</f>
        <v>22.019533333333335</v>
      </c>
      <c r="I117" s="19">
        <f>SUM(I108:I116)</f>
        <v>102.75120000000001</v>
      </c>
      <c r="J117" s="19">
        <f>SUM(J108:J116)</f>
        <v>711.64726666666672</v>
      </c>
      <c r="K117" s="25"/>
      <c r="L117" s="19">
        <f>SUM(L108:L116)</f>
        <v>74.000000000000014</v>
      </c>
    </row>
    <row r="118" spans="1:12" ht="15" thickBot="1" x14ac:dyDescent="0.3">
      <c r="A118" s="29">
        <f>A100</f>
        <v>2</v>
      </c>
      <c r="B118" s="30">
        <f>B100</f>
        <v>1</v>
      </c>
      <c r="C118" s="73" t="s">
        <v>4</v>
      </c>
      <c r="D118" s="74"/>
      <c r="E118" s="31"/>
      <c r="F118" s="32">
        <f>F107+F117</f>
        <v>1340</v>
      </c>
      <c r="G118" s="32">
        <f>G107+G117</f>
        <v>43.653333333333336</v>
      </c>
      <c r="H118" s="32">
        <f>H107+H117</f>
        <v>44.412866666666666</v>
      </c>
      <c r="I118" s="32">
        <f>I107+I117</f>
        <v>194.24119999999999</v>
      </c>
      <c r="J118" s="32">
        <f>J107+J117</f>
        <v>1351.2939333333334</v>
      </c>
      <c r="K118" s="32"/>
      <c r="L118" s="32">
        <f>L107+L117</f>
        <v>139.80000000000001</v>
      </c>
    </row>
    <row r="119" spans="1:12" ht="32.4" customHeight="1" x14ac:dyDescent="0.3">
      <c r="A119" s="14">
        <v>2</v>
      </c>
      <c r="B119" s="15">
        <v>2</v>
      </c>
      <c r="C119" s="22" t="s">
        <v>20</v>
      </c>
      <c r="D119" s="5" t="s">
        <v>21</v>
      </c>
      <c r="E119" s="39" t="s">
        <v>85</v>
      </c>
      <c r="F119" s="53">
        <v>90</v>
      </c>
      <c r="G119" s="54">
        <f>9.67*F119/80</f>
        <v>10.87875</v>
      </c>
      <c r="H119" s="54">
        <f>10.18*F119/80</f>
        <v>11.452499999999999</v>
      </c>
      <c r="I119" s="54">
        <f>9.14*F119/80</f>
        <v>10.282500000000001</v>
      </c>
      <c r="J119" s="54">
        <f t="shared" ref="J119" si="9">G119*4+H119*9+I119*4</f>
        <v>187.71749999999997</v>
      </c>
      <c r="K119" s="41">
        <v>280</v>
      </c>
      <c r="L119" s="40">
        <v>34.9</v>
      </c>
    </row>
    <row r="120" spans="1:12" ht="14.4" x14ac:dyDescent="0.3">
      <c r="A120" s="14"/>
      <c r="B120" s="15"/>
      <c r="C120" s="11"/>
      <c r="D120" s="6" t="s">
        <v>21</v>
      </c>
      <c r="E120" s="42" t="s">
        <v>86</v>
      </c>
      <c r="F120" s="53">
        <v>150</v>
      </c>
      <c r="G120" s="54">
        <v>3.45</v>
      </c>
      <c r="H120" s="56">
        <v>4.95</v>
      </c>
      <c r="I120" s="56">
        <v>25.18</v>
      </c>
      <c r="J120" s="56">
        <f t="shared" ref="J120:J121" si="10">G120*4+H120*9+I120*4</f>
        <v>159.07</v>
      </c>
      <c r="K120" s="44">
        <v>175</v>
      </c>
      <c r="L120" s="43">
        <v>7.41</v>
      </c>
    </row>
    <row r="121" spans="1:12" ht="14.4" x14ac:dyDescent="0.3">
      <c r="A121" s="14"/>
      <c r="B121" s="15"/>
      <c r="C121" s="11"/>
      <c r="D121" s="7" t="s">
        <v>22</v>
      </c>
      <c r="E121" s="42" t="s">
        <v>51</v>
      </c>
      <c r="F121" s="53">
        <v>204</v>
      </c>
      <c r="G121" s="54">
        <v>0.26</v>
      </c>
      <c r="H121" s="54">
        <v>0.06</v>
      </c>
      <c r="I121" s="54">
        <v>15.22</v>
      </c>
      <c r="J121" s="54">
        <f t="shared" si="10"/>
        <v>62.46</v>
      </c>
      <c r="K121" s="44">
        <v>377</v>
      </c>
      <c r="L121" s="43">
        <v>8.8699999999999992</v>
      </c>
    </row>
    <row r="122" spans="1:12" ht="14.4" x14ac:dyDescent="0.3">
      <c r="A122" s="14"/>
      <c r="B122" s="15"/>
      <c r="C122" s="11"/>
      <c r="D122" s="7" t="s">
        <v>23</v>
      </c>
      <c r="E122" s="42" t="s">
        <v>43</v>
      </c>
      <c r="F122" s="53">
        <v>40</v>
      </c>
      <c r="G122" s="54">
        <f>1.52*F122/30</f>
        <v>2.0266666666666664</v>
      </c>
      <c r="H122" s="55">
        <f>0.16*F122/30</f>
        <v>0.21333333333333335</v>
      </c>
      <c r="I122" s="55">
        <f>9.84*F122/30</f>
        <v>13.120000000000001</v>
      </c>
      <c r="J122" s="55">
        <f>G122*4+H122*9+I122*4</f>
        <v>62.506666666666668</v>
      </c>
      <c r="K122" s="44" t="s">
        <v>44</v>
      </c>
      <c r="L122" s="43">
        <v>2.62</v>
      </c>
    </row>
    <row r="123" spans="1:12" ht="14.4" x14ac:dyDescent="0.3">
      <c r="A123" s="14"/>
      <c r="B123" s="15"/>
      <c r="C123" s="11"/>
      <c r="D123" s="6"/>
      <c r="E123" s="42" t="s">
        <v>87</v>
      </c>
      <c r="F123" s="59">
        <v>40</v>
      </c>
      <c r="G123" s="54">
        <f>0.33*F123/30</f>
        <v>0.44000000000000006</v>
      </c>
      <c r="H123" s="54">
        <v>0.08</v>
      </c>
      <c r="I123" s="54">
        <f>3.8*F123/100</f>
        <v>1.52</v>
      </c>
      <c r="J123" s="54">
        <f t="shared" ref="J123" si="11">G123*4+H123*9+I123*4</f>
        <v>8.56</v>
      </c>
      <c r="K123" s="44">
        <v>71</v>
      </c>
      <c r="L123" s="43">
        <v>12</v>
      </c>
    </row>
    <row r="124" spans="1:12" ht="14.4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6"/>
      <c r="B125" s="17"/>
      <c r="C125" s="8"/>
      <c r="D125" s="18" t="s">
        <v>33</v>
      </c>
      <c r="E125" s="9"/>
      <c r="F125" s="19">
        <f>SUM(F119:F124)</f>
        <v>524</v>
      </c>
      <c r="G125" s="19">
        <f>SUM(G119:G124)</f>
        <v>17.055416666666666</v>
      </c>
      <c r="H125" s="19">
        <f>SUM(H119:H124)</f>
        <v>16.755833333333332</v>
      </c>
      <c r="I125" s="19">
        <f>SUM(I119:I124)</f>
        <v>65.322499999999991</v>
      </c>
      <c r="J125" s="19">
        <f>SUM(J119:J124)</f>
        <v>480.31416666666661</v>
      </c>
      <c r="K125" s="25"/>
      <c r="L125" s="19">
        <f>SUM(L119:L124)</f>
        <v>65.8</v>
      </c>
    </row>
    <row r="126" spans="1:12" ht="14.4" x14ac:dyDescent="0.3">
      <c r="A126" s="13">
        <f>A119</f>
        <v>2</v>
      </c>
      <c r="B126" s="13">
        <f>B119</f>
        <v>2</v>
      </c>
      <c r="C126" s="10" t="s">
        <v>25</v>
      </c>
      <c r="D126" s="7" t="s">
        <v>26</v>
      </c>
      <c r="E126" s="42" t="s">
        <v>88</v>
      </c>
      <c r="F126" s="65">
        <v>60</v>
      </c>
      <c r="G126" s="66">
        <f>1.5*F126/60</f>
        <v>1.5</v>
      </c>
      <c r="H126" s="65">
        <f>3.47*F126/60</f>
        <v>3.47</v>
      </c>
      <c r="I126" s="65">
        <f>6.77*F126/60</f>
        <v>6.77</v>
      </c>
      <c r="J126" s="54">
        <f>G126*4+H126*9+I126*4</f>
        <v>64.31</v>
      </c>
      <c r="K126" s="44">
        <v>67</v>
      </c>
      <c r="L126" s="43">
        <v>11</v>
      </c>
    </row>
    <row r="127" spans="1:12" ht="26.4" x14ac:dyDescent="0.3">
      <c r="A127" s="14"/>
      <c r="B127" s="15"/>
      <c r="C127" s="11"/>
      <c r="D127" s="7" t="s">
        <v>27</v>
      </c>
      <c r="E127" s="42" t="s">
        <v>57</v>
      </c>
      <c r="F127" s="43">
        <v>210</v>
      </c>
      <c r="G127" s="69">
        <v>6.9</v>
      </c>
      <c r="H127" s="43">
        <v>6.95</v>
      </c>
      <c r="I127" s="43">
        <v>18.760000000000002</v>
      </c>
      <c r="J127" s="43">
        <v>165.19</v>
      </c>
      <c r="K127" s="44">
        <v>113</v>
      </c>
      <c r="L127" s="43">
        <v>11.36</v>
      </c>
    </row>
    <row r="128" spans="1:12" ht="14.4" x14ac:dyDescent="0.3">
      <c r="A128" s="14"/>
      <c r="B128" s="15"/>
      <c r="C128" s="11"/>
      <c r="D128" s="7" t="s">
        <v>28</v>
      </c>
      <c r="E128" s="42" t="s">
        <v>89</v>
      </c>
      <c r="F128" s="53">
        <v>90</v>
      </c>
      <c r="G128" s="54">
        <f>F128*16.9/80</f>
        <v>19.012499999999996</v>
      </c>
      <c r="H128" s="54">
        <f>F128*9.66/80</f>
        <v>10.8675</v>
      </c>
      <c r="I128" s="54">
        <f>F128*0.15/80</f>
        <v>0.16875000000000001</v>
      </c>
      <c r="J128" s="54">
        <f t="shared" ref="J128:J130" si="12">G128*4+H128*9+I128*4</f>
        <v>174.5325</v>
      </c>
      <c r="K128" s="44">
        <v>293</v>
      </c>
      <c r="L128" s="43">
        <v>37</v>
      </c>
    </row>
    <row r="129" spans="1:12" ht="14.4" x14ac:dyDescent="0.3">
      <c r="A129" s="14"/>
      <c r="B129" s="15"/>
      <c r="C129" s="11"/>
      <c r="D129" s="7" t="s">
        <v>29</v>
      </c>
      <c r="E129" s="42" t="s">
        <v>78</v>
      </c>
      <c r="F129" s="53">
        <v>150</v>
      </c>
      <c r="G129" s="54">
        <f>2.77*F129/150</f>
        <v>2.77</v>
      </c>
      <c r="H129" s="54">
        <f>4.84*F129/150</f>
        <v>4.84</v>
      </c>
      <c r="I129" s="54">
        <f>10.78*F129/150</f>
        <v>10.78</v>
      </c>
      <c r="J129" s="54">
        <f t="shared" si="12"/>
        <v>97.759999999999991</v>
      </c>
      <c r="K129" s="44">
        <v>139</v>
      </c>
      <c r="L129" s="43">
        <v>8</v>
      </c>
    </row>
    <row r="130" spans="1:12" ht="14.4" x14ac:dyDescent="0.3">
      <c r="A130" s="14"/>
      <c r="B130" s="15"/>
      <c r="C130" s="11"/>
      <c r="D130" s="7" t="s">
        <v>30</v>
      </c>
      <c r="E130" s="42" t="s">
        <v>60</v>
      </c>
      <c r="F130" s="53">
        <v>200</v>
      </c>
      <c r="G130" s="54">
        <v>0.22</v>
      </c>
      <c r="H130" s="59"/>
      <c r="I130" s="54">
        <v>24.42</v>
      </c>
      <c r="J130" s="54">
        <f t="shared" si="12"/>
        <v>98.56</v>
      </c>
      <c r="K130" s="44">
        <v>349</v>
      </c>
      <c r="L130" s="43">
        <v>2.59</v>
      </c>
    </row>
    <row r="131" spans="1:12" ht="14.4" x14ac:dyDescent="0.3">
      <c r="A131" s="14"/>
      <c r="B131" s="15"/>
      <c r="C131" s="11"/>
      <c r="D131" s="7" t="s">
        <v>31</v>
      </c>
      <c r="E131" s="42" t="s">
        <v>43</v>
      </c>
      <c r="F131" s="53">
        <v>40</v>
      </c>
      <c r="G131" s="54">
        <f>1.52*F131/30</f>
        <v>2.0266666666666664</v>
      </c>
      <c r="H131" s="55">
        <f>0.16*F131/30</f>
        <v>0.21333333333333335</v>
      </c>
      <c r="I131" s="55">
        <f>9.84*F131/30</f>
        <v>13.120000000000001</v>
      </c>
      <c r="J131" s="55">
        <f>G131*4+H131*9+I131*4</f>
        <v>62.506666666666668</v>
      </c>
      <c r="K131" s="44" t="s">
        <v>44</v>
      </c>
      <c r="L131" s="43">
        <v>2.62</v>
      </c>
    </row>
    <row r="132" spans="1:12" ht="14.4" x14ac:dyDescent="0.3">
      <c r="A132" s="14"/>
      <c r="B132" s="15"/>
      <c r="C132" s="11"/>
      <c r="D132" s="7" t="s">
        <v>32</v>
      </c>
      <c r="E132" s="42" t="s">
        <v>52</v>
      </c>
      <c r="F132" s="53">
        <v>40</v>
      </c>
      <c r="G132" s="54">
        <v>2.64</v>
      </c>
      <c r="H132" s="55">
        <v>0.48</v>
      </c>
      <c r="I132" s="55">
        <v>13.68</v>
      </c>
      <c r="J132" s="55">
        <v>69.599999999999994</v>
      </c>
      <c r="K132" s="44" t="s">
        <v>44</v>
      </c>
      <c r="L132" s="43">
        <v>1.43</v>
      </c>
    </row>
    <row r="133" spans="1:12" ht="14.4" x14ac:dyDescent="0.3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6"/>
      <c r="B135" s="17"/>
      <c r="C135" s="8"/>
      <c r="D135" s="18" t="s">
        <v>33</v>
      </c>
      <c r="E135" s="9"/>
      <c r="F135" s="19">
        <f>SUM(F126:F134)</f>
        <v>790</v>
      </c>
      <c r="G135" s="19">
        <f>SUM(G126:G134)</f>
        <v>35.069166666666661</v>
      </c>
      <c r="H135" s="19">
        <f>SUM(H126:H134)</f>
        <v>26.820833333333336</v>
      </c>
      <c r="I135" s="19">
        <f>SUM(I126:I134)</f>
        <v>87.69874999999999</v>
      </c>
      <c r="J135" s="19">
        <f>SUM(J126:J134)</f>
        <v>732.45916666666665</v>
      </c>
      <c r="K135" s="25"/>
      <c r="L135" s="19">
        <f>SUM(L126:L134)</f>
        <v>74.000000000000014</v>
      </c>
    </row>
    <row r="136" spans="1:12" ht="15" thickBot="1" x14ac:dyDescent="0.3">
      <c r="A136" s="33">
        <f>A119</f>
        <v>2</v>
      </c>
      <c r="B136" s="33">
        <f>B119</f>
        <v>2</v>
      </c>
      <c r="C136" s="73" t="s">
        <v>4</v>
      </c>
      <c r="D136" s="74"/>
      <c r="E136" s="31"/>
      <c r="F136" s="32">
        <f>F125+F135</f>
        <v>1314</v>
      </c>
      <c r="G136" s="32">
        <f>G125+G135</f>
        <v>52.124583333333327</v>
      </c>
      <c r="H136" s="32">
        <f>H125+H135</f>
        <v>43.576666666666668</v>
      </c>
      <c r="I136" s="32">
        <f>I125+I135</f>
        <v>153.02124999999998</v>
      </c>
      <c r="J136" s="32">
        <f>J125+J135</f>
        <v>1212.7733333333333</v>
      </c>
      <c r="K136" s="32"/>
      <c r="L136" s="32">
        <f>L125+L135</f>
        <v>139.80000000000001</v>
      </c>
    </row>
    <row r="137" spans="1:12" ht="14.4" x14ac:dyDescent="0.3">
      <c r="A137" s="20">
        <v>2</v>
      </c>
      <c r="B137" s="21">
        <v>3</v>
      </c>
      <c r="C137" s="22" t="s">
        <v>20</v>
      </c>
      <c r="D137" s="5" t="s">
        <v>21</v>
      </c>
      <c r="E137" s="39" t="s">
        <v>90</v>
      </c>
      <c r="F137" s="53">
        <v>170</v>
      </c>
      <c r="G137" s="54">
        <f>15.23*F137/170</f>
        <v>15.229999999999999</v>
      </c>
      <c r="H137" s="54">
        <f>17.48*F137/170</f>
        <v>17.48</v>
      </c>
      <c r="I137" s="54">
        <f>36.71*F137/170</f>
        <v>36.71</v>
      </c>
      <c r="J137" s="54">
        <f>G137*4+H137*9+I137*4</f>
        <v>365.08</v>
      </c>
      <c r="K137" s="41">
        <v>223</v>
      </c>
      <c r="L137" s="40">
        <v>17.88</v>
      </c>
    </row>
    <row r="138" spans="1:12" ht="14.4" x14ac:dyDescent="0.3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3"/>
      <c r="B139" s="15"/>
      <c r="C139" s="11"/>
      <c r="D139" s="7" t="s">
        <v>22</v>
      </c>
      <c r="E139" s="42" t="s">
        <v>73</v>
      </c>
      <c r="F139" s="53">
        <v>200</v>
      </c>
      <c r="G139" s="54">
        <v>1</v>
      </c>
      <c r="H139" s="54">
        <v>0.2</v>
      </c>
      <c r="I139" s="54">
        <v>20.2</v>
      </c>
      <c r="J139" s="54">
        <f>G139*4+H139*9+I139*4</f>
        <v>86.6</v>
      </c>
      <c r="K139" s="44">
        <v>389</v>
      </c>
      <c r="L139" s="43">
        <v>10</v>
      </c>
    </row>
    <row r="140" spans="1:12" ht="15.75" customHeight="1" x14ac:dyDescent="0.3">
      <c r="A140" s="23"/>
      <c r="B140" s="15"/>
      <c r="C140" s="11"/>
      <c r="D140" s="7" t="s">
        <v>23</v>
      </c>
      <c r="E140" s="42" t="s">
        <v>43</v>
      </c>
      <c r="F140" s="53">
        <v>40</v>
      </c>
      <c r="G140" s="54">
        <f>1.52*F140/30</f>
        <v>2.0266666666666664</v>
      </c>
      <c r="H140" s="55">
        <f>0.16*F140/30</f>
        <v>0.21333333333333335</v>
      </c>
      <c r="I140" s="55">
        <f>9.84*F140/30</f>
        <v>13.120000000000001</v>
      </c>
      <c r="J140" s="55">
        <f>G140*4+H140*9+I140*4</f>
        <v>62.506666666666668</v>
      </c>
      <c r="K140" s="44" t="s">
        <v>44</v>
      </c>
      <c r="L140" s="43">
        <v>2.62</v>
      </c>
    </row>
    <row r="141" spans="1:12" ht="14.4" x14ac:dyDescent="0.3">
      <c r="A141" s="23"/>
      <c r="B141" s="15"/>
      <c r="C141" s="11"/>
      <c r="D141" s="7" t="s">
        <v>24</v>
      </c>
      <c r="E141" s="42" t="s">
        <v>69</v>
      </c>
      <c r="F141" s="53">
        <v>100</v>
      </c>
      <c r="G141" s="54">
        <f>F141*0.2/50</f>
        <v>0.4</v>
      </c>
      <c r="H141" s="59">
        <f>F141*0.15/50</f>
        <v>0.3</v>
      </c>
      <c r="I141" s="56">
        <f>F141*5.15/50</f>
        <v>10.3</v>
      </c>
      <c r="J141" s="56">
        <f>G141*4+H141*9+I141*4</f>
        <v>45.5</v>
      </c>
      <c r="K141" s="44">
        <v>338</v>
      </c>
      <c r="L141" s="43">
        <v>26</v>
      </c>
    </row>
    <row r="142" spans="1:12" ht="14.4" x14ac:dyDescent="0.3">
      <c r="A142" s="23"/>
      <c r="B142" s="15"/>
      <c r="C142" s="11"/>
      <c r="D142" s="6"/>
      <c r="E142" s="42" t="s">
        <v>91</v>
      </c>
      <c r="F142" s="53">
        <v>30</v>
      </c>
      <c r="G142" s="54">
        <v>1.5</v>
      </c>
      <c r="H142" s="54"/>
      <c r="I142" s="54">
        <v>11.4</v>
      </c>
      <c r="J142" s="54">
        <f>G142*4+H142*9+I142*4</f>
        <v>51.6</v>
      </c>
      <c r="K142" s="44"/>
      <c r="L142" s="43">
        <v>9.3000000000000007</v>
      </c>
    </row>
    <row r="143" spans="1:12" ht="14.4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4"/>
      <c r="B144" s="17"/>
      <c r="C144" s="8"/>
      <c r="D144" s="18" t="s">
        <v>33</v>
      </c>
      <c r="E144" s="9"/>
      <c r="F144" s="19">
        <f>SUM(F137:F143)</f>
        <v>540</v>
      </c>
      <c r="G144" s="19">
        <f>SUM(G137:G143)</f>
        <v>20.156666666666663</v>
      </c>
      <c r="H144" s="19">
        <f>SUM(H137:H143)</f>
        <v>18.193333333333335</v>
      </c>
      <c r="I144" s="19">
        <f>SUM(I137:I143)</f>
        <v>91.73</v>
      </c>
      <c r="J144" s="19">
        <f>SUM(J137:J143)</f>
        <v>611.28666666666663</v>
      </c>
      <c r="K144" s="25"/>
      <c r="L144" s="19">
        <f>SUM(L137:L143)</f>
        <v>65.8</v>
      </c>
    </row>
    <row r="145" spans="1:12" ht="14.4" x14ac:dyDescent="0.3">
      <c r="A145" s="26">
        <f>A137</f>
        <v>2</v>
      </c>
      <c r="B145" s="13">
        <f>B137</f>
        <v>3</v>
      </c>
      <c r="C145" s="10" t="s">
        <v>25</v>
      </c>
      <c r="D145" s="7" t="s">
        <v>26</v>
      </c>
      <c r="E145" s="42" t="s">
        <v>47</v>
      </c>
      <c r="F145" s="53">
        <v>60</v>
      </c>
      <c r="G145" s="54">
        <f>0.9*F145/60</f>
        <v>0.9</v>
      </c>
      <c r="H145" s="54">
        <f>1.31*F145/60</f>
        <v>1.31</v>
      </c>
      <c r="I145" s="54">
        <f>5.6*F145/60</f>
        <v>5.6</v>
      </c>
      <c r="J145" s="54">
        <f t="shared" ref="J145:J147" si="13">G145*4+H145*9+I145*4</f>
        <v>37.79</v>
      </c>
      <c r="K145" s="44">
        <v>45</v>
      </c>
      <c r="L145" s="43">
        <v>4.4400000000000004</v>
      </c>
    </row>
    <row r="146" spans="1:12" ht="14.4" x14ac:dyDescent="0.3">
      <c r="A146" s="23"/>
      <c r="B146" s="15"/>
      <c r="C146" s="11"/>
      <c r="D146" s="7" t="s">
        <v>27</v>
      </c>
      <c r="E146" s="42" t="s">
        <v>92</v>
      </c>
      <c r="F146" s="59">
        <v>200</v>
      </c>
      <c r="G146" s="54">
        <f>2.52*F146/200</f>
        <v>2.52</v>
      </c>
      <c r="H146" s="55">
        <f>2.84*F146/200</f>
        <v>2.84</v>
      </c>
      <c r="I146" s="55">
        <f>16.67*F146/200</f>
        <v>16.670000000000002</v>
      </c>
      <c r="J146" s="54">
        <f t="shared" si="13"/>
        <v>102.32000000000001</v>
      </c>
      <c r="K146" s="44">
        <v>108</v>
      </c>
      <c r="L146" s="43">
        <v>14.2</v>
      </c>
    </row>
    <row r="147" spans="1:12" ht="14.4" x14ac:dyDescent="0.3">
      <c r="A147" s="23"/>
      <c r="B147" s="15"/>
      <c r="C147" s="11"/>
      <c r="D147" s="7" t="s">
        <v>28</v>
      </c>
      <c r="E147" s="42" t="s">
        <v>93</v>
      </c>
      <c r="F147" s="53">
        <v>240</v>
      </c>
      <c r="G147" s="54">
        <f>F147*14.27/200</f>
        <v>17.123999999999999</v>
      </c>
      <c r="H147" s="54">
        <f>F147*15.01/200</f>
        <v>18.012</v>
      </c>
      <c r="I147" s="54">
        <f>F147*25.51/200</f>
        <v>30.612000000000002</v>
      </c>
      <c r="J147" s="54">
        <f t="shared" si="13"/>
        <v>353.05200000000002</v>
      </c>
      <c r="K147" s="44">
        <v>259</v>
      </c>
      <c r="L147" s="43">
        <v>41.31</v>
      </c>
    </row>
    <row r="148" spans="1:12" ht="14.4" x14ac:dyDescent="0.3">
      <c r="A148" s="23"/>
      <c r="B148" s="15"/>
      <c r="C148" s="11"/>
      <c r="D148" s="7" t="s">
        <v>29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30</v>
      </c>
      <c r="E149" s="42" t="s">
        <v>79</v>
      </c>
      <c r="F149" s="53">
        <v>200</v>
      </c>
      <c r="G149" s="54">
        <v>0.1</v>
      </c>
      <c r="H149" s="54">
        <v>0.1</v>
      </c>
      <c r="I149" s="54">
        <v>15.36</v>
      </c>
      <c r="J149" s="54">
        <f t="shared" ref="J149" si="14">G149*4+H149*9+I149*4</f>
        <v>62.739999999999995</v>
      </c>
      <c r="K149" s="44">
        <v>345</v>
      </c>
      <c r="L149" s="43">
        <v>10</v>
      </c>
    </row>
    <row r="150" spans="1:12" ht="14.4" x14ac:dyDescent="0.3">
      <c r="A150" s="23"/>
      <c r="B150" s="15"/>
      <c r="C150" s="11"/>
      <c r="D150" s="7" t="s">
        <v>31</v>
      </c>
      <c r="E150" s="42" t="s">
        <v>43</v>
      </c>
      <c r="F150" s="53">
        <v>40</v>
      </c>
      <c r="G150" s="54">
        <f>1.52*F150/30</f>
        <v>2.0266666666666664</v>
      </c>
      <c r="H150" s="55">
        <f>0.16*F150/30</f>
        <v>0.21333333333333335</v>
      </c>
      <c r="I150" s="55">
        <f>9.84*F150/30</f>
        <v>13.120000000000001</v>
      </c>
      <c r="J150" s="55">
        <f>G150*4+H150*9+I150*4</f>
        <v>62.506666666666668</v>
      </c>
      <c r="K150" s="44" t="s">
        <v>44</v>
      </c>
      <c r="L150" s="43">
        <v>2.62</v>
      </c>
    </row>
    <row r="151" spans="1:12" ht="14.4" x14ac:dyDescent="0.3">
      <c r="A151" s="23"/>
      <c r="B151" s="15"/>
      <c r="C151" s="11"/>
      <c r="D151" s="7" t="s">
        <v>32</v>
      </c>
      <c r="E151" s="42" t="s">
        <v>52</v>
      </c>
      <c r="F151" s="53">
        <v>40</v>
      </c>
      <c r="G151" s="54">
        <v>2.64</v>
      </c>
      <c r="H151" s="55">
        <v>0.48</v>
      </c>
      <c r="I151" s="55">
        <v>13.68</v>
      </c>
      <c r="J151" s="55">
        <v>69.599999999999994</v>
      </c>
      <c r="K151" s="44" t="s">
        <v>44</v>
      </c>
      <c r="L151" s="43">
        <v>1.43</v>
      </c>
    </row>
    <row r="152" spans="1:12" ht="14.4" x14ac:dyDescent="0.3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4"/>
      <c r="B154" s="17"/>
      <c r="C154" s="8"/>
      <c r="D154" s="18" t="s">
        <v>33</v>
      </c>
      <c r="E154" s="9"/>
      <c r="F154" s="19">
        <f>SUM(F145:F153)</f>
        <v>780</v>
      </c>
      <c r="G154" s="19">
        <f>SUM(G145:G153)</f>
        <v>25.310666666666666</v>
      </c>
      <c r="H154" s="19">
        <f>SUM(H145:H153)</f>
        <v>22.955333333333336</v>
      </c>
      <c r="I154" s="19">
        <f>SUM(I145:I153)</f>
        <v>95.042000000000002</v>
      </c>
      <c r="J154" s="19">
        <f>SUM(J145:J153)</f>
        <v>688.00866666666673</v>
      </c>
      <c r="K154" s="25"/>
      <c r="L154" s="19">
        <f>SUM(L145:L153)</f>
        <v>74.000000000000014</v>
      </c>
    </row>
    <row r="155" spans="1:12" ht="15" thickBot="1" x14ac:dyDescent="0.3">
      <c r="A155" s="29">
        <f>A137</f>
        <v>2</v>
      </c>
      <c r="B155" s="30">
        <f>B137</f>
        <v>3</v>
      </c>
      <c r="C155" s="73" t="s">
        <v>4</v>
      </c>
      <c r="D155" s="74"/>
      <c r="E155" s="31"/>
      <c r="F155" s="32">
        <f>F144+F154</f>
        <v>1320</v>
      </c>
      <c r="G155" s="32">
        <f>G144+G154</f>
        <v>45.467333333333329</v>
      </c>
      <c r="H155" s="32">
        <f>H144+H154</f>
        <v>41.148666666666671</v>
      </c>
      <c r="I155" s="32">
        <f>I144+I154</f>
        <v>186.77199999999999</v>
      </c>
      <c r="J155" s="32">
        <f>J144+J154</f>
        <v>1299.2953333333335</v>
      </c>
      <c r="K155" s="32"/>
      <c r="L155" s="32">
        <f>L144+L154</f>
        <v>139.80000000000001</v>
      </c>
    </row>
    <row r="156" spans="1:12" ht="27" customHeight="1" x14ac:dyDescent="0.3">
      <c r="A156" s="20">
        <v>2</v>
      </c>
      <c r="B156" s="21">
        <v>4</v>
      </c>
      <c r="C156" s="22" t="s">
        <v>20</v>
      </c>
      <c r="D156" s="5" t="s">
        <v>21</v>
      </c>
      <c r="E156" s="39" t="s">
        <v>95</v>
      </c>
      <c r="F156" s="59">
        <v>100</v>
      </c>
      <c r="G156" s="54">
        <v>11.73</v>
      </c>
      <c r="H156" s="54">
        <v>14.08</v>
      </c>
      <c r="I156" s="54">
        <v>14.94</v>
      </c>
      <c r="J156" s="56">
        <f t="shared" ref="J156:J158" si="15">G156*4+H156*9+I156*4</f>
        <v>233.39999999999998</v>
      </c>
      <c r="K156" s="41">
        <v>279</v>
      </c>
      <c r="L156" s="40">
        <v>11.26</v>
      </c>
    </row>
    <row r="157" spans="1:12" ht="14.4" x14ac:dyDescent="0.3">
      <c r="A157" s="23"/>
      <c r="B157" s="15"/>
      <c r="C157" s="11"/>
      <c r="D157" s="6" t="s">
        <v>21</v>
      </c>
      <c r="E157" s="42" t="s">
        <v>50</v>
      </c>
      <c r="F157" s="53">
        <v>150</v>
      </c>
      <c r="G157" s="54">
        <f>5.7*F157/150</f>
        <v>5.7</v>
      </c>
      <c r="H157" s="54">
        <f>3.43*F157/150</f>
        <v>3.43</v>
      </c>
      <c r="I157" s="54">
        <f>36.45*F157/150</f>
        <v>36.450000000000003</v>
      </c>
      <c r="J157" s="54">
        <f t="shared" si="15"/>
        <v>199.47000000000003</v>
      </c>
      <c r="K157" s="44">
        <v>203</v>
      </c>
      <c r="L157" s="43">
        <v>7.4</v>
      </c>
    </row>
    <row r="158" spans="1:12" ht="14.4" x14ac:dyDescent="0.3">
      <c r="A158" s="23"/>
      <c r="B158" s="15"/>
      <c r="C158" s="11"/>
      <c r="D158" s="7" t="s">
        <v>22</v>
      </c>
      <c r="E158" s="42" t="s">
        <v>42</v>
      </c>
      <c r="F158" s="53">
        <v>200</v>
      </c>
      <c r="G158" s="54">
        <f>3.5*F158/200</f>
        <v>3.5</v>
      </c>
      <c r="H158" s="54">
        <f>3.7*F158/200</f>
        <v>3.7</v>
      </c>
      <c r="I158" s="54">
        <f>25.5*F158/200</f>
        <v>25.5</v>
      </c>
      <c r="J158" s="54">
        <f t="shared" si="15"/>
        <v>149.30000000000001</v>
      </c>
      <c r="K158" s="44">
        <v>382</v>
      </c>
      <c r="L158" s="43">
        <v>26.22</v>
      </c>
    </row>
    <row r="159" spans="1:12" ht="14.4" x14ac:dyDescent="0.3">
      <c r="A159" s="23"/>
      <c r="B159" s="15"/>
      <c r="C159" s="11"/>
      <c r="D159" s="7" t="s">
        <v>23</v>
      </c>
      <c r="E159" s="42" t="s">
        <v>43</v>
      </c>
      <c r="F159" s="53">
        <v>40</v>
      </c>
      <c r="G159" s="54">
        <f>1.52*F159/30</f>
        <v>2.0266666666666664</v>
      </c>
      <c r="H159" s="55">
        <f>0.16*F159/30</f>
        <v>0.21333333333333335</v>
      </c>
      <c r="I159" s="55">
        <f>9.84*F159/30</f>
        <v>13.120000000000001</v>
      </c>
      <c r="J159" s="55">
        <f>G159*4+H159*9+I159*4</f>
        <v>62.506666666666668</v>
      </c>
      <c r="K159" s="44" t="s">
        <v>44</v>
      </c>
      <c r="L159" s="43">
        <v>2.62</v>
      </c>
    </row>
    <row r="160" spans="1:12" ht="14.4" x14ac:dyDescent="0.3">
      <c r="A160" s="23"/>
      <c r="B160" s="15"/>
      <c r="C160" s="11"/>
      <c r="D160" s="7" t="s">
        <v>24</v>
      </c>
      <c r="E160" s="42" t="s">
        <v>45</v>
      </c>
      <c r="F160" s="53">
        <v>100</v>
      </c>
      <c r="G160" s="54">
        <v>0.4</v>
      </c>
      <c r="H160" s="59">
        <v>0.4</v>
      </c>
      <c r="I160" s="56">
        <v>9.8000000000000007</v>
      </c>
      <c r="J160" s="56">
        <f t="shared" ref="J160" si="16">G160*4+H160*9+I160*4</f>
        <v>44.400000000000006</v>
      </c>
      <c r="K160" s="44">
        <v>338</v>
      </c>
      <c r="L160" s="43">
        <v>13.5</v>
      </c>
    </row>
    <row r="161" spans="1:12" ht="14.4" x14ac:dyDescent="0.3">
      <c r="A161" s="23"/>
      <c r="B161" s="15"/>
      <c r="C161" s="11"/>
      <c r="D161" s="6"/>
      <c r="E161" s="42" t="s">
        <v>94</v>
      </c>
      <c r="F161" s="57">
        <v>40</v>
      </c>
      <c r="G161" s="58">
        <f>0.5*F161/60</f>
        <v>0.33333333333333331</v>
      </c>
      <c r="H161" s="58">
        <f>0.03*F161/30</f>
        <v>0.04</v>
      </c>
      <c r="I161" s="58">
        <f>1.7*F161/60</f>
        <v>1.1333333333333333</v>
      </c>
      <c r="J161" s="58">
        <f t="shared" ref="J161" si="17">G161*4+H161*9+I161*4</f>
        <v>6.2266666666666666</v>
      </c>
      <c r="K161" s="44">
        <v>71</v>
      </c>
      <c r="L161" s="43">
        <v>4.8</v>
      </c>
    </row>
    <row r="162" spans="1:12" ht="14.4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4"/>
      <c r="B163" s="17"/>
      <c r="C163" s="8"/>
      <c r="D163" s="18" t="s">
        <v>33</v>
      </c>
      <c r="E163" s="9"/>
      <c r="F163" s="19">
        <f>SUM(F156:F162)</f>
        <v>630</v>
      </c>
      <c r="G163" s="19">
        <f>SUM(G156:G162)</f>
        <v>23.689999999999998</v>
      </c>
      <c r="H163" s="19">
        <f>SUM(H156:H162)</f>
        <v>21.863333333333333</v>
      </c>
      <c r="I163" s="19">
        <f>SUM(I156:I162)</f>
        <v>100.94333333333334</v>
      </c>
      <c r="J163" s="19">
        <f>SUM(J156:J162)</f>
        <v>695.3033333333334</v>
      </c>
      <c r="K163" s="25"/>
      <c r="L163" s="19">
        <f>SUM(L156:L162)</f>
        <v>65.8</v>
      </c>
    </row>
    <row r="164" spans="1:12" ht="14.4" x14ac:dyDescent="0.3">
      <c r="A164" s="26">
        <f>A156</f>
        <v>2</v>
      </c>
      <c r="B164" s="13">
        <f>B156</f>
        <v>4</v>
      </c>
      <c r="C164" s="10" t="s">
        <v>25</v>
      </c>
      <c r="D164" s="7" t="s">
        <v>26</v>
      </c>
      <c r="E164" s="42" t="s">
        <v>96</v>
      </c>
      <c r="F164" s="53">
        <v>60</v>
      </c>
      <c r="G164" s="54">
        <f>2.7*F164/60</f>
        <v>2.7</v>
      </c>
      <c r="H164" s="54">
        <f>4.7*F164/60</f>
        <v>4.7</v>
      </c>
      <c r="I164" s="54">
        <f>4.31*F164/60</f>
        <v>4.3099999999999996</v>
      </c>
      <c r="J164" s="54">
        <f t="shared" ref="J164:J167" si="18">G164*4+H164*9+I164*4</f>
        <v>70.34</v>
      </c>
      <c r="K164" s="44">
        <v>50</v>
      </c>
      <c r="L164" s="43">
        <v>7.75</v>
      </c>
    </row>
    <row r="165" spans="1:12" ht="26.4" x14ac:dyDescent="0.3">
      <c r="A165" s="23"/>
      <c r="B165" s="15"/>
      <c r="C165" s="11"/>
      <c r="D165" s="7" t="s">
        <v>27</v>
      </c>
      <c r="E165" s="42" t="s">
        <v>97</v>
      </c>
      <c r="F165" s="54">
        <v>210</v>
      </c>
      <c r="G165" s="54">
        <v>1.97</v>
      </c>
      <c r="H165" s="54">
        <v>5.18</v>
      </c>
      <c r="I165" s="54">
        <v>8.9700000000000006</v>
      </c>
      <c r="J165" s="54">
        <f t="shared" si="18"/>
        <v>90.38</v>
      </c>
      <c r="K165" s="44">
        <v>88</v>
      </c>
      <c r="L165" s="43">
        <v>20</v>
      </c>
    </row>
    <row r="166" spans="1:12" ht="14.4" x14ac:dyDescent="0.3">
      <c r="A166" s="23"/>
      <c r="B166" s="15"/>
      <c r="C166" s="11"/>
      <c r="D166" s="7" t="s">
        <v>28</v>
      </c>
      <c r="E166" s="42" t="s">
        <v>98</v>
      </c>
      <c r="F166" s="53">
        <v>90</v>
      </c>
      <c r="G166" s="54">
        <f>17.77*F166/80</f>
        <v>19.991250000000001</v>
      </c>
      <c r="H166" s="54">
        <f>9.32*F166/80</f>
        <v>10.485000000000001</v>
      </c>
      <c r="I166" s="54">
        <f>2.39*F166/80</f>
        <v>2.6887500000000002</v>
      </c>
      <c r="J166" s="54">
        <f t="shared" si="18"/>
        <v>185.08500000000001</v>
      </c>
      <c r="K166" s="44">
        <v>232</v>
      </c>
      <c r="L166" s="43">
        <v>30</v>
      </c>
    </row>
    <row r="167" spans="1:12" ht="14.4" x14ac:dyDescent="0.3">
      <c r="A167" s="23"/>
      <c r="B167" s="15"/>
      <c r="C167" s="11"/>
      <c r="D167" s="7" t="s">
        <v>29</v>
      </c>
      <c r="E167" s="42" t="s">
        <v>59</v>
      </c>
      <c r="F167" s="53">
        <v>150</v>
      </c>
      <c r="G167" s="54">
        <f>F167*3.29/150</f>
        <v>3.29</v>
      </c>
      <c r="H167" s="54">
        <f>F167*7.06/150</f>
        <v>7.06</v>
      </c>
      <c r="I167" s="54">
        <f>F167*22.21/150</f>
        <v>22.21</v>
      </c>
      <c r="J167" s="54">
        <f t="shared" si="18"/>
        <v>165.54000000000002</v>
      </c>
      <c r="K167" s="44">
        <v>312</v>
      </c>
      <c r="L167" s="43">
        <v>10</v>
      </c>
    </row>
    <row r="168" spans="1:12" ht="14.4" x14ac:dyDescent="0.3">
      <c r="A168" s="23"/>
      <c r="B168" s="15"/>
      <c r="C168" s="11"/>
      <c r="D168" s="7" t="s">
        <v>30</v>
      </c>
      <c r="E168" s="42" t="s">
        <v>99</v>
      </c>
      <c r="F168" s="53">
        <v>200</v>
      </c>
      <c r="G168" s="54">
        <v>0.06</v>
      </c>
      <c r="H168" s="59">
        <v>0.02</v>
      </c>
      <c r="I168" s="54">
        <v>20.73</v>
      </c>
      <c r="J168" s="54">
        <f>G168*4+H168*9+I168*4</f>
        <v>83.34</v>
      </c>
      <c r="K168" s="44">
        <v>345</v>
      </c>
      <c r="L168" s="43">
        <v>2.2000000000000002</v>
      </c>
    </row>
    <row r="169" spans="1:12" ht="14.4" x14ac:dyDescent="0.3">
      <c r="A169" s="23"/>
      <c r="B169" s="15"/>
      <c r="C169" s="11"/>
      <c r="D169" s="7" t="s">
        <v>31</v>
      </c>
      <c r="E169" s="42" t="s">
        <v>43</v>
      </c>
      <c r="F169" s="53">
        <v>40</v>
      </c>
      <c r="G169" s="54">
        <f>1.52*F169/30</f>
        <v>2.0266666666666664</v>
      </c>
      <c r="H169" s="55">
        <f>0.16*F169/30</f>
        <v>0.21333333333333335</v>
      </c>
      <c r="I169" s="55">
        <f>9.84*F169/30</f>
        <v>13.120000000000001</v>
      </c>
      <c r="J169" s="55">
        <f>G169*4+H169*9+I169*4</f>
        <v>62.506666666666668</v>
      </c>
      <c r="K169" s="44" t="s">
        <v>44</v>
      </c>
      <c r="L169" s="43">
        <v>2.62</v>
      </c>
    </row>
    <row r="170" spans="1:12" ht="14.4" x14ac:dyDescent="0.3">
      <c r="A170" s="23"/>
      <c r="B170" s="15"/>
      <c r="C170" s="11"/>
      <c r="D170" s="7" t="s">
        <v>32</v>
      </c>
      <c r="E170" s="42" t="s">
        <v>52</v>
      </c>
      <c r="F170" s="53">
        <v>40</v>
      </c>
      <c r="G170" s="54">
        <v>2.64</v>
      </c>
      <c r="H170" s="55">
        <v>0.48</v>
      </c>
      <c r="I170" s="55">
        <v>13.68</v>
      </c>
      <c r="J170" s="55">
        <v>69.599999999999994</v>
      </c>
      <c r="K170" s="44" t="s">
        <v>44</v>
      </c>
      <c r="L170" s="43">
        <v>1.43</v>
      </c>
    </row>
    <row r="171" spans="1:12" ht="14.4" x14ac:dyDescent="0.3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4"/>
      <c r="B173" s="17"/>
      <c r="C173" s="8"/>
      <c r="D173" s="18" t="s">
        <v>33</v>
      </c>
      <c r="E173" s="9"/>
      <c r="F173" s="19">
        <f>SUM(F164:F172)</f>
        <v>790</v>
      </c>
      <c r="G173" s="19">
        <f>SUM(G164:G172)</f>
        <v>32.677916666666668</v>
      </c>
      <c r="H173" s="19">
        <f>SUM(H164:H172)</f>
        <v>28.138333333333335</v>
      </c>
      <c r="I173" s="19">
        <f>SUM(I164:I172)</f>
        <v>85.708750000000009</v>
      </c>
      <c r="J173" s="19">
        <f>SUM(J164:J172)</f>
        <v>726.79166666666674</v>
      </c>
      <c r="K173" s="25"/>
      <c r="L173" s="19">
        <f>SUM(L164:L172)</f>
        <v>74.000000000000014</v>
      </c>
    </row>
    <row r="174" spans="1:12" ht="15" thickBot="1" x14ac:dyDescent="0.3">
      <c r="A174" s="29">
        <f>A156</f>
        <v>2</v>
      </c>
      <c r="B174" s="30">
        <f>B156</f>
        <v>4</v>
      </c>
      <c r="C174" s="73" t="s">
        <v>4</v>
      </c>
      <c r="D174" s="74"/>
      <c r="E174" s="31"/>
      <c r="F174" s="32">
        <f>F163+F173</f>
        <v>1420</v>
      </c>
      <c r="G174" s="32">
        <f>G163+G173</f>
        <v>56.367916666666666</v>
      </c>
      <c r="H174" s="32">
        <f>H163+H173</f>
        <v>50.001666666666665</v>
      </c>
      <c r="I174" s="32">
        <f>I163+I173</f>
        <v>186.65208333333334</v>
      </c>
      <c r="J174" s="32">
        <f>J163+J173</f>
        <v>1422.0950000000003</v>
      </c>
      <c r="K174" s="32"/>
      <c r="L174" s="32">
        <f>L163+L173</f>
        <v>139.80000000000001</v>
      </c>
    </row>
    <row r="175" spans="1:12" ht="14.4" x14ac:dyDescent="0.3">
      <c r="A175" s="20">
        <v>2</v>
      </c>
      <c r="B175" s="21">
        <v>5</v>
      </c>
      <c r="C175" s="22" t="s">
        <v>20</v>
      </c>
      <c r="D175" s="5" t="s">
        <v>21</v>
      </c>
      <c r="E175" s="39" t="s">
        <v>74</v>
      </c>
      <c r="F175" s="53">
        <v>200</v>
      </c>
      <c r="G175" s="54">
        <v>16.29</v>
      </c>
      <c r="H175" s="56">
        <v>18.989999999999998</v>
      </c>
      <c r="I175" s="56">
        <v>5.04</v>
      </c>
      <c r="J175" s="54">
        <f t="shared" ref="J175" si="19">G175*4+H175*9+I175*4</f>
        <v>256.23</v>
      </c>
      <c r="K175" s="41">
        <v>210</v>
      </c>
      <c r="L175" s="40">
        <v>28.27</v>
      </c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22</v>
      </c>
      <c r="E177" s="42" t="s">
        <v>62</v>
      </c>
      <c r="F177" s="53">
        <v>200</v>
      </c>
      <c r="G177" s="54">
        <v>0.2</v>
      </c>
      <c r="H177" s="54">
        <v>0.05</v>
      </c>
      <c r="I177" s="54">
        <v>15.01</v>
      </c>
      <c r="J177" s="54">
        <f t="shared" ref="J177" si="20">G177*4+H177*9+I177*4</f>
        <v>61.29</v>
      </c>
      <c r="K177" s="44">
        <v>376</v>
      </c>
      <c r="L177" s="43">
        <v>2.0299999999999998</v>
      </c>
    </row>
    <row r="178" spans="1:12" ht="14.4" x14ac:dyDescent="0.3">
      <c r="A178" s="23"/>
      <c r="B178" s="15"/>
      <c r="C178" s="11"/>
      <c r="D178" s="7" t="s">
        <v>23</v>
      </c>
      <c r="E178" s="42" t="s">
        <v>43</v>
      </c>
      <c r="F178" s="53">
        <v>40</v>
      </c>
      <c r="G178" s="54">
        <f>1.52*F178/30</f>
        <v>2.0266666666666664</v>
      </c>
      <c r="H178" s="55">
        <f>0.16*F178/30</f>
        <v>0.21333333333333335</v>
      </c>
      <c r="I178" s="55">
        <f>9.84*F178/30</f>
        <v>13.120000000000001</v>
      </c>
      <c r="J178" s="55">
        <f>G178*4+H178*9+I178*4</f>
        <v>62.506666666666668</v>
      </c>
      <c r="K178" s="44" t="s">
        <v>44</v>
      </c>
      <c r="L178" s="43">
        <v>2.62</v>
      </c>
    </row>
    <row r="179" spans="1:12" ht="14.4" x14ac:dyDescent="0.3">
      <c r="A179" s="23"/>
      <c r="B179" s="15"/>
      <c r="C179" s="11"/>
      <c r="D179" s="7" t="s">
        <v>24</v>
      </c>
      <c r="E179" s="42" t="s">
        <v>81</v>
      </c>
      <c r="F179" s="53">
        <v>100</v>
      </c>
      <c r="G179" s="54">
        <v>0.9</v>
      </c>
      <c r="H179" s="59">
        <v>0.2</v>
      </c>
      <c r="I179" s="56">
        <v>8.1</v>
      </c>
      <c r="J179" s="54">
        <f t="shared" ref="J179" si="21">G179*4+H179*9+I179*4</f>
        <v>37.799999999999997</v>
      </c>
      <c r="K179" s="44">
        <v>338</v>
      </c>
      <c r="L179" s="43">
        <v>13.5</v>
      </c>
    </row>
    <row r="180" spans="1:12" ht="14.4" x14ac:dyDescent="0.3">
      <c r="A180" s="23"/>
      <c r="B180" s="15"/>
      <c r="C180" s="11"/>
      <c r="D180" s="6"/>
      <c r="E180" s="42" t="s">
        <v>46</v>
      </c>
      <c r="F180" s="53">
        <v>20</v>
      </c>
      <c r="G180" s="54">
        <f>2.32*F180/10</f>
        <v>4.6399999999999997</v>
      </c>
      <c r="H180" s="54">
        <f>3.4*F180/10</f>
        <v>6.8</v>
      </c>
      <c r="I180" s="54">
        <f>0.01*F180/10</f>
        <v>0.02</v>
      </c>
      <c r="J180" s="54">
        <f t="shared" ref="J180:J181" si="22">G180*4+H180*9+I180*4</f>
        <v>79.839999999999989</v>
      </c>
      <c r="K180" s="44">
        <v>15</v>
      </c>
      <c r="L180" s="43">
        <v>14.13</v>
      </c>
    </row>
    <row r="181" spans="1:12" ht="14.4" x14ac:dyDescent="0.3">
      <c r="A181" s="23"/>
      <c r="B181" s="15"/>
      <c r="C181" s="11"/>
      <c r="D181" s="6"/>
      <c r="E181" s="42" t="s">
        <v>75</v>
      </c>
      <c r="F181" s="53">
        <v>20</v>
      </c>
      <c r="G181" s="54">
        <v>4.5999999999999996</v>
      </c>
      <c r="H181" s="59">
        <v>0.24</v>
      </c>
      <c r="I181" s="56">
        <v>10.66</v>
      </c>
      <c r="J181" s="56">
        <f t="shared" si="22"/>
        <v>63.2</v>
      </c>
      <c r="K181" s="44">
        <v>131</v>
      </c>
      <c r="L181" s="43">
        <v>5.25</v>
      </c>
    </row>
    <row r="182" spans="1:12" ht="15.75" customHeight="1" x14ac:dyDescent="0.3">
      <c r="A182" s="24"/>
      <c r="B182" s="17"/>
      <c r="C182" s="8"/>
      <c r="D182" s="18" t="s">
        <v>33</v>
      </c>
      <c r="E182" s="9"/>
      <c r="F182" s="67">
        <f>SUM(F175:F181)</f>
        <v>580</v>
      </c>
      <c r="G182" s="67">
        <f>SUM(G175:G181)</f>
        <v>28.656666666666666</v>
      </c>
      <c r="H182" s="67">
        <f>SUM(H175:H181)</f>
        <v>26.493333333333332</v>
      </c>
      <c r="I182" s="67">
        <f>SUM(I175:I181)</f>
        <v>51.95</v>
      </c>
      <c r="J182" s="67">
        <f>SUM(J175:J181)</f>
        <v>560.86666666666667</v>
      </c>
      <c r="K182" s="68"/>
      <c r="L182" s="19">
        <f>SUM(L175:L181)</f>
        <v>65.800000000000011</v>
      </c>
    </row>
    <row r="183" spans="1:12" ht="26.4" x14ac:dyDescent="0.3">
      <c r="A183" s="26">
        <f>A175</f>
        <v>2</v>
      </c>
      <c r="B183" s="13">
        <f>B175</f>
        <v>5</v>
      </c>
      <c r="C183" s="10" t="s">
        <v>25</v>
      </c>
      <c r="D183" s="7" t="s">
        <v>26</v>
      </c>
      <c r="E183" s="42" t="s">
        <v>64</v>
      </c>
      <c r="F183" s="53">
        <v>60</v>
      </c>
      <c r="G183" s="54">
        <v>0.3</v>
      </c>
      <c r="H183" s="54">
        <v>2</v>
      </c>
      <c r="I183" s="54">
        <v>1.6</v>
      </c>
      <c r="J183" s="54">
        <f t="shared" ref="J183:J186" si="23">G183*4+H183*9+I183*4</f>
        <v>25.6</v>
      </c>
      <c r="K183" s="44">
        <v>24</v>
      </c>
      <c r="L183" s="43">
        <v>10</v>
      </c>
    </row>
    <row r="184" spans="1:12" ht="14.4" x14ac:dyDescent="0.3">
      <c r="A184" s="23"/>
      <c r="B184" s="15"/>
      <c r="C184" s="11"/>
      <c r="D184" s="7" t="s">
        <v>27</v>
      </c>
      <c r="E184" s="42" t="s">
        <v>100</v>
      </c>
      <c r="F184" s="53">
        <v>200</v>
      </c>
      <c r="G184" s="54">
        <f>9.9*F184/200</f>
        <v>9.9</v>
      </c>
      <c r="H184" s="56">
        <f>8.9*F184/200</f>
        <v>8.9</v>
      </c>
      <c r="I184" s="56">
        <f>25.2*F184/200</f>
        <v>25.2</v>
      </c>
      <c r="J184" s="56">
        <f t="shared" si="23"/>
        <v>220.5</v>
      </c>
      <c r="K184" s="44">
        <v>103</v>
      </c>
      <c r="L184" s="43">
        <v>6</v>
      </c>
    </row>
    <row r="185" spans="1:12" ht="14.4" x14ac:dyDescent="0.3">
      <c r="A185" s="23"/>
      <c r="B185" s="15"/>
      <c r="C185" s="11"/>
      <c r="D185" s="7" t="s">
        <v>28</v>
      </c>
      <c r="E185" s="42" t="s">
        <v>101</v>
      </c>
      <c r="F185" s="59">
        <v>90</v>
      </c>
      <c r="G185" s="54">
        <f>15.24*F185/100</f>
        <v>13.715999999999999</v>
      </c>
      <c r="H185" s="56">
        <f>5.8*F185/100</f>
        <v>5.22</v>
      </c>
      <c r="I185" s="56">
        <f>10.16*F185/100</f>
        <v>9.1440000000000001</v>
      </c>
      <c r="J185" s="56">
        <f t="shared" si="23"/>
        <v>138.41999999999999</v>
      </c>
      <c r="K185" s="44">
        <v>295</v>
      </c>
      <c r="L185" s="43">
        <v>28.95</v>
      </c>
    </row>
    <row r="186" spans="1:12" ht="14.4" x14ac:dyDescent="0.3">
      <c r="A186" s="23"/>
      <c r="B186" s="15"/>
      <c r="C186" s="11"/>
      <c r="D186" s="7" t="s">
        <v>29</v>
      </c>
      <c r="E186" s="42" t="s">
        <v>102</v>
      </c>
      <c r="F186" s="53">
        <v>150</v>
      </c>
      <c r="G186" s="54">
        <v>6.57</v>
      </c>
      <c r="H186" s="54">
        <v>4.1900000000000004</v>
      </c>
      <c r="I186" s="54">
        <v>32.32</v>
      </c>
      <c r="J186" s="54">
        <f t="shared" si="23"/>
        <v>193.27</v>
      </c>
      <c r="K186" s="44">
        <v>171</v>
      </c>
      <c r="L186" s="43">
        <v>6</v>
      </c>
    </row>
    <row r="187" spans="1:12" ht="14.4" x14ac:dyDescent="0.3">
      <c r="A187" s="23"/>
      <c r="B187" s="15"/>
      <c r="C187" s="11"/>
      <c r="D187" s="7" t="s">
        <v>30</v>
      </c>
      <c r="E187" s="42" t="s">
        <v>73</v>
      </c>
      <c r="F187" s="53">
        <v>200</v>
      </c>
      <c r="G187" s="54">
        <v>1</v>
      </c>
      <c r="H187" s="54">
        <v>0.2</v>
      </c>
      <c r="I187" s="54">
        <v>20.2</v>
      </c>
      <c r="J187" s="54">
        <f>G187*4+H187*9+I187*4</f>
        <v>86.6</v>
      </c>
      <c r="K187" s="44">
        <v>389</v>
      </c>
      <c r="L187" s="43">
        <v>19</v>
      </c>
    </row>
    <row r="188" spans="1:12" ht="14.4" x14ac:dyDescent="0.3">
      <c r="A188" s="23"/>
      <c r="B188" s="15"/>
      <c r="C188" s="11"/>
      <c r="D188" s="7" t="s">
        <v>31</v>
      </c>
      <c r="E188" s="42" t="s">
        <v>43</v>
      </c>
      <c r="F188" s="53">
        <v>40</v>
      </c>
      <c r="G188" s="54">
        <f>1.52*F188/30</f>
        <v>2.0266666666666664</v>
      </c>
      <c r="H188" s="55">
        <f>0.16*F188/30</f>
        <v>0.21333333333333335</v>
      </c>
      <c r="I188" s="55">
        <f>9.84*F188/30</f>
        <v>13.120000000000001</v>
      </c>
      <c r="J188" s="55">
        <f>G188*4+H188*9+I188*4</f>
        <v>62.506666666666668</v>
      </c>
      <c r="K188" s="44" t="s">
        <v>44</v>
      </c>
      <c r="L188" s="43">
        <v>2.62</v>
      </c>
    </row>
    <row r="189" spans="1:12" ht="14.4" x14ac:dyDescent="0.3">
      <c r="A189" s="23"/>
      <c r="B189" s="15"/>
      <c r="C189" s="11"/>
      <c r="D189" s="7" t="s">
        <v>32</v>
      </c>
      <c r="E189" s="42" t="s">
        <v>52</v>
      </c>
      <c r="F189" s="53">
        <v>40</v>
      </c>
      <c r="G189" s="54">
        <v>2.64</v>
      </c>
      <c r="H189" s="55">
        <v>0.48</v>
      </c>
      <c r="I189" s="55">
        <v>13.68</v>
      </c>
      <c r="J189" s="55">
        <v>69.599999999999994</v>
      </c>
      <c r="K189" s="44" t="s">
        <v>44</v>
      </c>
      <c r="L189" s="43">
        <v>1.43</v>
      </c>
    </row>
    <row r="190" spans="1:12" ht="14.4" x14ac:dyDescent="0.3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4"/>
      <c r="B192" s="17"/>
      <c r="C192" s="8"/>
      <c r="D192" s="18" t="s">
        <v>33</v>
      </c>
      <c r="E192" s="9"/>
      <c r="F192" s="19">
        <f>SUM(F183:F191)</f>
        <v>780</v>
      </c>
      <c r="G192" s="19">
        <f>SUM(G183:G191)</f>
        <v>36.152666666666669</v>
      </c>
      <c r="H192" s="19">
        <f>SUM(H183:H191)</f>
        <v>21.203333333333337</v>
      </c>
      <c r="I192" s="19">
        <f>SUM(I183:I191)</f>
        <v>115.26400000000001</v>
      </c>
      <c r="J192" s="19">
        <f>SUM(J183:J191)</f>
        <v>796.49666666666667</v>
      </c>
      <c r="K192" s="25"/>
      <c r="L192" s="19">
        <f>SUM(L183:L191)</f>
        <v>74.000000000000014</v>
      </c>
    </row>
    <row r="193" spans="1:12" ht="15" thickBot="1" x14ac:dyDescent="0.3">
      <c r="A193" s="29">
        <f>A175</f>
        <v>2</v>
      </c>
      <c r="B193" s="30">
        <f>B175</f>
        <v>5</v>
      </c>
      <c r="C193" s="73" t="s">
        <v>4</v>
      </c>
      <c r="D193" s="74"/>
      <c r="E193" s="31"/>
      <c r="F193" s="32">
        <f>F182+F192</f>
        <v>1360</v>
      </c>
      <c r="G193" s="32">
        <f>G182+G192</f>
        <v>64.809333333333342</v>
      </c>
      <c r="H193" s="32">
        <f>H182+H192</f>
        <v>47.696666666666673</v>
      </c>
      <c r="I193" s="32">
        <f>I182+I192</f>
        <v>167.214</v>
      </c>
      <c r="J193" s="32">
        <f>J182+J192</f>
        <v>1357.3633333333332</v>
      </c>
      <c r="K193" s="32"/>
      <c r="L193" s="32">
        <f>L182+L192</f>
        <v>139.80000000000001</v>
      </c>
    </row>
    <row r="194" spans="1:12" ht="13.8" thickBot="1" x14ac:dyDescent="0.3">
      <c r="A194" s="27"/>
      <c r="B194" s="28"/>
      <c r="C194" s="75" t="s">
        <v>5</v>
      </c>
      <c r="D194" s="75"/>
      <c r="E194" s="75"/>
      <c r="F194" s="34">
        <f>(F24+F42+F61+F80+F99+F118+F136+F155+F174+F193)/(IF(F24=0,0,1)+IF(F42=0,0,1)+IF(F61=0,0,1)+IF(F80=0,0,1)+IF(F99=0,0,1)+IF(F118=0,0,1)+IF(F136=0,0,1)+IF(F155=0,0,1)+IF(F174=0,0,1)+IF(F193=0,0,1))</f>
        <v>1348.8</v>
      </c>
      <c r="G194" s="34">
        <f>(G24+G42+G61+G80+G99+G118+G136+G155+G174+G193)/(IF(G24=0,0,1)+IF(G42=0,0,1)+IF(G61=0,0,1)+IF(G80=0,0,1)+IF(G99=0,0,1)+IF(G118=0,0,1)+IF(G136=0,0,1)+IF(G155=0,0,1)+IF(G174=0,0,1)+IF(G193=0,0,1))</f>
        <v>53.143141666666658</v>
      </c>
      <c r="H194" s="34">
        <f>(H24+H42+H61+H80+H99+H118+H136+H155+H174+H193)/(IF(H24=0,0,1)+IF(H42=0,0,1)+IF(H61=0,0,1)+IF(H80=0,0,1)+IF(H99=0,0,1)+IF(H118=0,0,1)+IF(H136=0,0,1)+IF(H155=0,0,1)+IF(H174=0,0,1)+IF(H193=0,0,1))</f>
        <v>48.190686666666664</v>
      </c>
      <c r="I194" s="34">
        <f>(I24+I42+I61+I80+I99+I118+I136+I155+I174+I193)/(IF(I24=0,0,1)+IF(I42=0,0,1)+IF(I61=0,0,1)+IF(I80=0,0,1)+IF(I99=0,0,1)+IF(I118=0,0,1)+IF(I136=0,0,1)+IF(I155=0,0,1)+IF(I174=0,0,1)+IF(I193=0,0,1))</f>
        <v>175.91585333333336</v>
      </c>
      <c r="J194" s="34">
        <f>(J24+J42+J61+J80+J99+J118+J136+J155+J174+J193)/(IF(J24=0,0,1)+IF(J42=0,0,1)+IF(J61=0,0,1)+IF(J80=0,0,1)+IF(J99=0,0,1)+IF(J118=0,0,1)+IF(J136=0,0,1)+IF(J155=0,0,1)+IF(J174=0,0,1)+IF(J193=0,0,1))</f>
        <v>1349.9391600000001</v>
      </c>
      <c r="K194" s="34"/>
      <c r="L194" s="34">
        <f>(L24+L42+L61+L80+L99+L118+L136+L155+L174+L193)/(IF(L24=0,0,1)+IF(L42=0,0,1)+IF(L61=0,0,1)+IF(L80=0,0,1)+IF(L99=0,0,1)+IF(L118=0,0,1)+IF(L136=0,0,1)+IF(L155=0,0,1)+IF(L174=0,0,1)+IF(L193=0,0,1))</f>
        <v>139.79999999999998</v>
      </c>
    </row>
  </sheetData>
  <mergeCells count="14">
    <mergeCell ref="C80:D80"/>
    <mergeCell ref="C99:D99"/>
    <mergeCell ref="C24:D24"/>
    <mergeCell ref="C194:E194"/>
    <mergeCell ref="C193:D193"/>
    <mergeCell ref="C118:D118"/>
    <mergeCell ref="C136:D136"/>
    <mergeCell ref="C155:D155"/>
    <mergeCell ref="C174:D174"/>
    <mergeCell ref="C1:E1"/>
    <mergeCell ref="H1:K1"/>
    <mergeCell ref="H2:K2"/>
    <mergeCell ref="C42:D42"/>
    <mergeCell ref="C61:D6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360" verticalDpi="360" r:id="rId1"/>
  <rowBreaks count="2" manualBreakCount="2">
    <brk id="61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2025-01-23T05:44:20Z</cp:lastPrinted>
  <dcterms:created xsi:type="dcterms:W3CDTF">2022-05-16T14:23:56Z</dcterms:created>
  <dcterms:modified xsi:type="dcterms:W3CDTF">2025-09-05T08:42:52Z</dcterms:modified>
</cp:coreProperties>
</file>